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jia\Desktop\Plna Anual Compras\2013\"/>
    </mc:Choice>
  </mc:AlternateContent>
  <bookViews>
    <workbookView xWindow="0" yWindow="0" windowWidth="3795" windowHeight="2760"/>
  </bookViews>
  <sheets>
    <sheet name="DEFINITIVO (2)" sheetId="4" r:id="rId1"/>
    <sheet name="Hoja1" sheetId="3" r:id="rId2"/>
    <sheet name="Hoja2" sheetId="5" r:id="rId3"/>
  </sheets>
  <definedNames>
    <definedName name="_xlnm._FilterDatabase" localSheetId="0" hidden="1">'DEFINITIVO (2)'!$A$4:$U$454</definedName>
    <definedName name="_xlnm.Print_Area" localSheetId="0">'DEFINITIVO (2)'!$A$1:$U$484</definedName>
  </definedNames>
  <calcPr calcId="152511"/>
</workbook>
</file>

<file path=xl/calcChain.xml><?xml version="1.0" encoding="utf-8"?>
<calcChain xmlns="http://schemas.openxmlformats.org/spreadsheetml/2006/main">
  <c r="Q84" i="4" l="1"/>
  <c r="P444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1" i="4"/>
  <c r="P397" i="4"/>
  <c r="P396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1" i="4"/>
  <c r="P348" i="4"/>
  <c r="P344" i="4"/>
  <c r="P334" i="4"/>
  <c r="P331" i="4"/>
  <c r="P330" i="4"/>
  <c r="P329" i="4"/>
  <c r="P328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2" i="4"/>
  <c r="P301" i="4"/>
  <c r="P300" i="4"/>
  <c r="P299" i="4"/>
  <c r="P297" i="4"/>
  <c r="P296" i="4"/>
  <c r="P294" i="4"/>
  <c r="P293" i="4"/>
  <c r="P292" i="4"/>
  <c r="P291" i="4"/>
  <c r="P289" i="4"/>
  <c r="P288" i="4"/>
  <c r="P287" i="4"/>
  <c r="P286" i="4"/>
  <c r="P285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59" i="4"/>
  <c r="P257" i="4"/>
  <c r="P256" i="4"/>
  <c r="P255" i="4"/>
  <c r="P253" i="4"/>
  <c r="P251" i="4"/>
  <c r="P245" i="4"/>
  <c r="P240" i="4"/>
  <c r="P239" i="4"/>
  <c r="P238" i="4"/>
  <c r="P237" i="4"/>
  <c r="P235" i="4"/>
  <c r="P234" i="4"/>
  <c r="P232" i="4"/>
  <c r="P226" i="4"/>
  <c r="P225" i="4"/>
  <c r="P224" i="4"/>
  <c r="P223" i="4"/>
  <c r="P222" i="4"/>
  <c r="P220" i="4"/>
  <c r="P219" i="4"/>
  <c r="P218" i="4"/>
  <c r="P217" i="4"/>
  <c r="P215" i="4"/>
  <c r="P214" i="4"/>
  <c r="P213" i="4"/>
  <c r="P212" i="4"/>
  <c r="P208" i="4"/>
  <c r="P207" i="4"/>
  <c r="P206" i="4"/>
  <c r="P204" i="4"/>
  <c r="P202" i="4"/>
  <c r="P197" i="4"/>
  <c r="P194" i="4"/>
  <c r="P191" i="4"/>
  <c r="P187" i="4"/>
  <c r="P186" i="4"/>
  <c r="P185" i="4"/>
  <c r="P182" i="4"/>
  <c r="P181" i="4"/>
  <c r="P176" i="4"/>
  <c r="P175" i="4"/>
  <c r="P174" i="4"/>
  <c r="P173" i="4"/>
  <c r="P172" i="4"/>
  <c r="P170" i="4"/>
  <c r="P169" i="4"/>
  <c r="P168" i="4"/>
  <c r="P167" i="4"/>
  <c r="P165" i="4"/>
  <c r="P164" i="4"/>
  <c r="P162" i="4"/>
  <c r="P157" i="4"/>
  <c r="P156" i="4"/>
  <c r="P155" i="4"/>
  <c r="P151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1" i="4"/>
  <c r="P130" i="4"/>
  <c r="P129" i="4"/>
  <c r="P128" i="4"/>
  <c r="P127" i="4"/>
  <c r="P126" i="4"/>
  <c r="P125" i="4"/>
  <c r="P124" i="4"/>
  <c r="P123" i="4"/>
  <c r="P121" i="4"/>
  <c r="P120" i="4"/>
  <c r="P119" i="4"/>
  <c r="P118" i="4"/>
  <c r="P117" i="4"/>
  <c r="P116" i="4"/>
  <c r="P115" i="4"/>
  <c r="P114" i="4"/>
  <c r="P113" i="4"/>
  <c r="P112" i="4"/>
  <c r="P110" i="4"/>
  <c r="P90" i="4"/>
  <c r="P89" i="4"/>
  <c r="P88" i="4"/>
  <c r="P87" i="4"/>
  <c r="P84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58" i="4"/>
  <c r="P54" i="4"/>
  <c r="P53" i="4"/>
  <c r="P52" i="4"/>
  <c r="P51" i="4"/>
  <c r="P50" i="4"/>
  <c r="P49" i="4"/>
  <c r="T49" i="4" s="1"/>
  <c r="P36" i="4"/>
  <c r="P35" i="4"/>
  <c r="P34" i="4"/>
  <c r="P33" i="4"/>
  <c r="P32" i="4"/>
  <c r="P31" i="4"/>
  <c r="P30" i="4"/>
  <c r="R30" i="4" s="1"/>
  <c r="P29" i="4"/>
  <c r="P28" i="4"/>
  <c r="P27" i="4"/>
  <c r="P26" i="4"/>
  <c r="R26" i="4" s="1"/>
  <c r="P25" i="4"/>
  <c r="R25" i="4" s="1"/>
  <c r="P24" i="4"/>
  <c r="P23" i="4"/>
  <c r="P22" i="4"/>
  <c r="P21" i="4"/>
  <c r="R21" i="4" s="1"/>
  <c r="P20" i="4"/>
  <c r="P19" i="4"/>
  <c r="P18" i="4"/>
  <c r="P17" i="4"/>
  <c r="P16" i="4"/>
  <c r="V9" i="4"/>
  <c r="V38" i="4"/>
  <c r="V39" i="4"/>
  <c r="V40" i="4"/>
  <c r="V47" i="4"/>
  <c r="V48" i="4"/>
  <c r="V56" i="4"/>
  <c r="V60" i="4"/>
  <c r="V61" i="4"/>
  <c r="V86" i="4"/>
  <c r="V92" i="4"/>
  <c r="V94" i="4"/>
  <c r="V95" i="4"/>
  <c r="V108" i="4"/>
  <c r="V135" i="4"/>
  <c r="V201" i="4"/>
  <c r="V283" i="4"/>
  <c r="V284" i="4"/>
  <c r="V326" i="4"/>
  <c r="V333" i="4"/>
  <c r="V340" i="4"/>
  <c r="V343" i="4"/>
  <c r="V382" i="4"/>
  <c r="V388" i="4"/>
  <c r="V391" i="4"/>
  <c r="V394" i="4"/>
  <c r="V400" i="4"/>
  <c r="V404" i="4"/>
  <c r="V409" i="4"/>
  <c r="V414" i="4"/>
  <c r="V420" i="4"/>
  <c r="V423" i="4"/>
  <c r="V438" i="4"/>
  <c r="V443" i="4"/>
  <c r="V449" i="4"/>
  <c r="R338" i="4"/>
  <c r="R107" i="4"/>
  <c r="R93" i="4"/>
  <c r="R46" i="4"/>
  <c r="R13" i="4"/>
  <c r="R8" i="4"/>
  <c r="R17" i="4"/>
  <c r="R19" i="4"/>
  <c r="R20" i="4"/>
  <c r="R22" i="4"/>
  <c r="R24" i="4"/>
  <c r="R27" i="4"/>
  <c r="R28" i="4"/>
  <c r="R29" i="4"/>
  <c r="R35" i="4"/>
  <c r="R36" i="4"/>
  <c r="T453" i="4"/>
  <c r="T452" i="4"/>
  <c r="T451" i="4"/>
  <c r="T450" i="4"/>
  <c r="T444" i="4"/>
  <c r="T441" i="4"/>
  <c r="T440" i="4"/>
  <c r="T439" i="4"/>
  <c r="T436" i="4"/>
  <c r="T435" i="4"/>
  <c r="T434" i="4"/>
  <c r="T433" i="4"/>
  <c r="T432" i="4"/>
  <c r="T431" i="4"/>
  <c r="T430" i="4"/>
  <c r="T429" i="4"/>
  <c r="T428" i="4"/>
  <c r="T427" i="4"/>
  <c r="T426" i="4"/>
  <c r="T425" i="4"/>
  <c r="T424" i="4"/>
  <c r="T421" i="4"/>
  <c r="T418" i="4"/>
  <c r="U418" i="4" s="1"/>
  <c r="T417" i="4"/>
  <c r="T416" i="4"/>
  <c r="T415" i="4"/>
  <c r="T411" i="4"/>
  <c r="T410" i="4"/>
  <c r="T407" i="4"/>
  <c r="T405" i="4"/>
  <c r="T402" i="4"/>
  <c r="U402" i="4" s="1"/>
  <c r="T401" i="4"/>
  <c r="T398" i="4"/>
  <c r="T397" i="4"/>
  <c r="T396" i="4"/>
  <c r="T395" i="4"/>
  <c r="T392" i="4"/>
  <c r="U392" i="4" s="1"/>
  <c r="T389" i="4"/>
  <c r="T385" i="4"/>
  <c r="T384" i="4"/>
  <c r="T383" i="4"/>
  <c r="T352" i="4"/>
  <c r="T350" i="4"/>
  <c r="U350" i="4" s="1"/>
  <c r="T349" i="4"/>
  <c r="T347" i="4"/>
  <c r="U347" i="4" s="1"/>
  <c r="T346" i="4"/>
  <c r="T345" i="4"/>
  <c r="U345" i="4" s="1"/>
  <c r="T341" i="4"/>
  <c r="T337" i="4"/>
  <c r="T334" i="4"/>
  <c r="T327" i="4"/>
  <c r="T324" i="4"/>
  <c r="U324" i="4" s="1"/>
  <c r="T296" i="4"/>
  <c r="T294" i="4"/>
  <c r="T293" i="4"/>
  <c r="T292" i="4"/>
  <c r="T289" i="4"/>
  <c r="T288" i="4"/>
  <c r="T287" i="4"/>
  <c r="T286" i="4"/>
  <c r="T281" i="4"/>
  <c r="T263" i="4"/>
  <c r="T262" i="4"/>
  <c r="T261" i="4"/>
  <c r="T260" i="4"/>
  <c r="T258" i="4"/>
  <c r="T254" i="4"/>
  <c r="T252" i="4"/>
  <c r="T250" i="4"/>
  <c r="T249" i="4"/>
  <c r="T248" i="4"/>
  <c r="T247" i="4"/>
  <c r="T246" i="4"/>
  <c r="T244" i="4"/>
  <c r="T243" i="4"/>
  <c r="T242" i="4"/>
  <c r="T241" i="4"/>
  <c r="T236" i="4"/>
  <c r="T234" i="4"/>
  <c r="T233" i="4"/>
  <c r="T231" i="4"/>
  <c r="T230" i="4"/>
  <c r="T229" i="4"/>
  <c r="T228" i="4"/>
  <c r="T227" i="4"/>
  <c r="T221" i="4"/>
  <c r="T216" i="4"/>
  <c r="T211" i="4"/>
  <c r="T210" i="4"/>
  <c r="U210" i="4" s="1"/>
  <c r="T209" i="4"/>
  <c r="T208" i="4"/>
  <c r="T205" i="4"/>
  <c r="T203" i="4"/>
  <c r="T199" i="4"/>
  <c r="T198" i="4"/>
  <c r="T196" i="4"/>
  <c r="T195" i="4"/>
  <c r="T193" i="4"/>
  <c r="T192" i="4"/>
  <c r="T184" i="4"/>
  <c r="T183" i="4"/>
  <c r="T154" i="4"/>
  <c r="T153" i="4"/>
  <c r="T152" i="4"/>
  <c r="T150" i="4"/>
  <c r="T149" i="4"/>
  <c r="T144" i="4"/>
  <c r="T143" i="4"/>
  <c r="T142" i="4"/>
  <c r="T141" i="4"/>
  <c r="T138" i="4"/>
  <c r="T137" i="4"/>
  <c r="T132" i="4"/>
  <c r="T131" i="4"/>
  <c r="T130" i="4"/>
  <c r="T129" i="4"/>
  <c r="T128" i="4"/>
  <c r="T123" i="4"/>
  <c r="T122" i="4"/>
  <c r="T118" i="4"/>
  <c r="T106" i="4"/>
  <c r="T105" i="4"/>
  <c r="T104" i="4"/>
  <c r="U104" i="4" s="1"/>
  <c r="T103" i="4"/>
  <c r="U103" i="4" s="1"/>
  <c r="T102" i="4"/>
  <c r="U102" i="4" s="1"/>
  <c r="T101" i="4"/>
  <c r="U101" i="4" s="1"/>
  <c r="T100" i="4"/>
  <c r="T99" i="4"/>
  <c r="U99" i="4" s="1"/>
  <c r="T98" i="4"/>
  <c r="U98" i="4" s="1"/>
  <c r="T97" i="4"/>
  <c r="U97" i="4" s="1"/>
  <c r="T96" i="4"/>
  <c r="U96" i="4" s="1"/>
  <c r="T93" i="4"/>
  <c r="U93" i="4" s="1"/>
  <c r="T83" i="4"/>
  <c r="T69" i="4"/>
  <c r="T58" i="4"/>
  <c r="T57" i="4"/>
  <c r="T52" i="4"/>
  <c r="T51" i="4"/>
  <c r="T50" i="4"/>
  <c r="T45" i="4"/>
  <c r="T44" i="4"/>
  <c r="T43" i="4"/>
  <c r="T42" i="4"/>
  <c r="T41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1" i="4"/>
  <c r="T10" i="4"/>
  <c r="U398" i="4"/>
  <c r="U389" i="4"/>
  <c r="U349" i="4"/>
  <c r="U122" i="4"/>
  <c r="U105" i="4"/>
  <c r="U100" i="4"/>
  <c r="U395" i="4"/>
  <c r="G384" i="4"/>
  <c r="U384" i="4"/>
  <c r="F445" i="4"/>
  <c r="G335" i="4"/>
  <c r="F337" i="4"/>
  <c r="G91" i="4"/>
  <c r="G93" i="4"/>
  <c r="G55" i="4"/>
  <c r="V93" i="4" l="1"/>
  <c r="U337" i="4"/>
  <c r="U35" i="4"/>
  <c r="V35" i="4" s="1"/>
  <c r="T353" i="4"/>
  <c r="F352" i="4"/>
  <c r="U352" i="4" s="1"/>
  <c r="R444" i="4"/>
  <c r="U444" i="4"/>
  <c r="R446" i="4" l="1"/>
  <c r="V444" i="4"/>
  <c r="R353" i="4"/>
  <c r="U353" i="4"/>
  <c r="Q16" i="4" l="1"/>
  <c r="R16" i="4" s="1"/>
  <c r="G45" i="4" l="1"/>
  <c r="G44" i="4" l="1"/>
  <c r="G43" i="4"/>
  <c r="G42" i="4"/>
  <c r="G41" i="4"/>
  <c r="U44" i="4"/>
  <c r="V44" i="4" l="1"/>
  <c r="G46" i="4"/>
  <c r="Q266" i="4"/>
  <c r="T377" i="4"/>
  <c r="R377" i="4" l="1"/>
  <c r="T372" i="4"/>
  <c r="T367" i="4"/>
  <c r="T364" i="4"/>
  <c r="T374" i="4"/>
  <c r="T369" i="4"/>
  <c r="T368" i="4"/>
  <c r="U83" i="4"/>
  <c r="G83" i="4"/>
  <c r="V83" i="4" l="1"/>
  <c r="U377" i="4"/>
  <c r="V377" i="4" s="1"/>
  <c r="R364" i="4"/>
  <c r="R368" i="4"/>
  <c r="R372" i="4"/>
  <c r="R367" i="4"/>
  <c r="R374" i="4"/>
  <c r="R369" i="4"/>
  <c r="T88" i="4"/>
  <c r="T87" i="4"/>
  <c r="U374" i="4" l="1"/>
  <c r="V374" i="4" s="1"/>
  <c r="U364" i="4"/>
  <c r="V364" i="4" s="1"/>
  <c r="U367" i="4"/>
  <c r="V367" i="4" s="1"/>
  <c r="U372" i="4"/>
  <c r="V372" i="4" s="1"/>
  <c r="U369" i="4"/>
  <c r="V369" i="4" s="1"/>
  <c r="U368" i="4"/>
  <c r="V368" i="4" s="1"/>
  <c r="R87" i="4"/>
  <c r="R88" i="4"/>
  <c r="U88" i="4" l="1"/>
  <c r="V88" i="4" s="1"/>
  <c r="U87" i="4"/>
  <c r="V87" i="4" s="1"/>
  <c r="U453" i="4"/>
  <c r="U452" i="4"/>
  <c r="U451" i="4"/>
  <c r="U450" i="4"/>
  <c r="T56" i="4"/>
  <c r="U45" i="4"/>
  <c r="V45" i="4" s="1"/>
  <c r="Q53" i="4" l="1"/>
  <c r="T53" i="4"/>
  <c r="T54" i="4"/>
  <c r="Q50" i="4"/>
  <c r="Q51" i="4"/>
  <c r="Q79" i="4"/>
  <c r="T78" i="4"/>
  <c r="Q70" i="4"/>
  <c r="Q330" i="4"/>
  <c r="Q329" i="4"/>
  <c r="T329" i="4"/>
  <c r="Q328" i="4"/>
  <c r="Q80" i="4"/>
  <c r="F290" i="4"/>
  <c r="Q295" i="4"/>
  <c r="Q291" i="4"/>
  <c r="F289" i="4"/>
  <c r="Q289" i="4"/>
  <c r="Q288" i="4"/>
  <c r="Q287" i="4"/>
  <c r="Q296" i="4"/>
  <c r="Q285" i="4"/>
  <c r="C14" i="5"/>
  <c r="D13" i="5"/>
  <c r="C13" i="5"/>
  <c r="C12" i="5"/>
  <c r="D12" i="5" s="1"/>
  <c r="Q71" i="4"/>
  <c r="T71" i="4"/>
  <c r="T81" i="4"/>
  <c r="Q72" i="4"/>
  <c r="Q69" i="4"/>
  <c r="T75" i="4"/>
  <c r="T74" i="4"/>
  <c r="T73" i="4"/>
  <c r="T77" i="4"/>
  <c r="C11" i="5"/>
  <c r="D11" i="5" s="1"/>
  <c r="C10" i="5"/>
  <c r="D10" i="5" s="1"/>
  <c r="Q62" i="4"/>
  <c r="Q90" i="4"/>
  <c r="Q396" i="4"/>
  <c r="R75" i="4" l="1"/>
  <c r="R73" i="4"/>
  <c r="R53" i="4"/>
  <c r="R78" i="4"/>
  <c r="R329" i="4"/>
  <c r="R71" i="4"/>
  <c r="R81" i="4"/>
  <c r="R77" i="4"/>
  <c r="R74" i="4"/>
  <c r="U329" i="4" l="1"/>
  <c r="V329" i="4" s="1"/>
  <c r="U78" i="4"/>
  <c r="V78" i="4" s="1"/>
  <c r="U53" i="4"/>
  <c r="V53" i="4" s="1"/>
  <c r="U74" i="4"/>
  <c r="V74" i="4" s="1"/>
  <c r="U77" i="4"/>
  <c r="V77" i="4" s="1"/>
  <c r="U81" i="4"/>
  <c r="V81" i="4" s="1"/>
  <c r="U71" i="4"/>
  <c r="V71" i="4" s="1"/>
  <c r="U73" i="4"/>
  <c r="V73" i="4" s="1"/>
  <c r="U75" i="4"/>
  <c r="V75" i="4" s="1"/>
  <c r="Q310" i="4"/>
  <c r="Q309" i="4"/>
  <c r="Q311" i="4"/>
  <c r="Q49" i="4"/>
  <c r="Q156" i="4"/>
  <c r="Q197" i="4"/>
  <c r="T197" i="4"/>
  <c r="Q82" i="4"/>
  <c r="U197" i="4" l="1"/>
  <c r="R197" i="4"/>
  <c r="V197" i="4" l="1"/>
  <c r="D9" i="5"/>
  <c r="D8" i="5"/>
  <c r="F199" i="4"/>
  <c r="U199" i="4" s="1"/>
  <c r="F196" i="4"/>
  <c r="U196" i="4" s="1"/>
  <c r="Q194" i="4"/>
  <c r="F194" i="4"/>
  <c r="F193" i="4" l="1"/>
  <c r="U193" i="4" s="1"/>
  <c r="F192" i="4"/>
  <c r="U192" i="4" s="1"/>
  <c r="F191" i="4" l="1"/>
  <c r="F190" i="4"/>
  <c r="F189" i="4"/>
  <c r="F188" i="4"/>
  <c r="Q186" i="4"/>
  <c r="F184" i="4"/>
  <c r="U184" i="4" s="1"/>
  <c r="F183" i="4"/>
  <c r="U183" i="4" s="1"/>
  <c r="Q182" i="4"/>
  <c r="Q181" i="4"/>
  <c r="F180" i="4"/>
  <c r="F179" i="4"/>
  <c r="F178" i="4"/>
  <c r="F177" i="4"/>
  <c r="Q176" i="4"/>
  <c r="Q175" i="4"/>
  <c r="Q174" i="4"/>
  <c r="Q173" i="4"/>
  <c r="Q172" i="4"/>
  <c r="F171" i="4"/>
  <c r="Q170" i="4"/>
  <c r="Q169" i="4"/>
  <c r="Q168" i="4"/>
  <c r="Q167" i="4"/>
  <c r="F167" i="4"/>
  <c r="F166" i="4"/>
  <c r="Q165" i="4"/>
  <c r="Q164" i="4"/>
  <c r="F163" i="4"/>
  <c r="Q162" i="4"/>
  <c r="F161" i="4"/>
  <c r="F160" i="4"/>
  <c r="F159" i="4"/>
  <c r="F158" i="4"/>
  <c r="Q157" i="4"/>
  <c r="F157" i="4"/>
  <c r="Q155" i="4"/>
  <c r="F155" i="4"/>
  <c r="F154" i="4"/>
  <c r="U154" i="4" s="1"/>
  <c r="F153" i="4"/>
  <c r="U153" i="4" s="1"/>
  <c r="F152" i="4"/>
  <c r="U152" i="4" s="1"/>
  <c r="Q151" i="4"/>
  <c r="F150" i="4"/>
  <c r="F149" i="4"/>
  <c r="Q148" i="4"/>
  <c r="Q147" i="4"/>
  <c r="F147" i="4"/>
  <c r="Q146" i="4"/>
  <c r="F146" i="4"/>
  <c r="Q145" i="4"/>
  <c r="Q144" i="4"/>
  <c r="Q143" i="4"/>
  <c r="Q142" i="4"/>
  <c r="Q141" i="4"/>
  <c r="Q140" i="4"/>
  <c r="Q139" i="4"/>
  <c r="Q137" i="4"/>
  <c r="Q136" i="4"/>
  <c r="Q127" i="4"/>
  <c r="Q126" i="4"/>
  <c r="Q125" i="4"/>
  <c r="Q124" i="4"/>
  <c r="Q131" i="4"/>
  <c r="Q129" i="4"/>
  <c r="Q123" i="4"/>
  <c r="F119" i="4"/>
  <c r="Q119" i="4"/>
  <c r="Q114" i="4"/>
  <c r="F114" i="4"/>
  <c r="Q113" i="4"/>
  <c r="K111" i="4"/>
  <c r="Q110" i="4"/>
  <c r="F110" i="4"/>
  <c r="K109" i="4"/>
  <c r="F254" i="4" l="1"/>
  <c r="U254" i="4" s="1"/>
  <c r="Q234" i="4"/>
  <c r="Q264" i="4"/>
  <c r="F261" i="4"/>
  <c r="F260" i="4"/>
  <c r="U260" i="4" s="1"/>
  <c r="Q259" i="4"/>
  <c r="F259" i="4"/>
  <c r="F263" i="4"/>
  <c r="U263" i="4" s="1"/>
  <c r="F258" i="4"/>
  <c r="Q277" i="4"/>
  <c r="Q255" i="4"/>
  <c r="F255" i="4"/>
  <c r="Q253" i="4"/>
  <c r="F253" i="4"/>
  <c r="F252" i="4"/>
  <c r="U252" i="4" s="1"/>
  <c r="Q257" i="4"/>
  <c r="F257" i="4"/>
  <c r="Q256" i="4"/>
  <c r="F256" i="4"/>
  <c r="Q274" i="4"/>
  <c r="Q251" i="4"/>
  <c r="F251" i="4"/>
  <c r="F262" i="4"/>
  <c r="U262" i="4" s="1"/>
  <c r="F250" i="4"/>
  <c r="U250" i="4" s="1"/>
  <c r="F249" i="4"/>
  <c r="F246" i="4"/>
  <c r="U246" i="4" s="1"/>
  <c r="Q245" i="4"/>
  <c r="F245" i="4"/>
  <c r="F243" i="4"/>
  <c r="U243" i="4" s="1"/>
  <c r="F241" i="4"/>
  <c r="Q272" i="4"/>
  <c r="Q273" i="4"/>
  <c r="Q240" i="4"/>
  <c r="F240" i="4"/>
  <c r="F242" i="4"/>
  <c r="U242" i="4" s="1"/>
  <c r="Q239" i="4"/>
  <c r="F239" i="4"/>
  <c r="Q237" i="4"/>
  <c r="F237" i="4"/>
  <c r="Q238" i="4"/>
  <c r="F238" i="4"/>
  <c r="F236" i="4"/>
  <c r="U236" i="4" s="1"/>
  <c r="Q235" i="4"/>
  <c r="F235" i="4"/>
  <c r="F244" i="4"/>
  <c r="U244" i="4" s="1"/>
  <c r="F232" i="4"/>
  <c r="F233" i="4"/>
  <c r="U233" i="4" s="1"/>
  <c r="Q232" i="4"/>
  <c r="Q278" i="4"/>
  <c r="F231" i="4"/>
  <c r="U231" i="4" s="1"/>
  <c r="Q270" i="4"/>
  <c r="F229" i="4"/>
  <c r="U229" i="4" s="1"/>
  <c r="F223" i="4"/>
  <c r="Q223" i="4"/>
  <c r="Q222" i="4"/>
  <c r="F222" i="4"/>
  <c r="Q276" i="4"/>
  <c r="F228" i="4"/>
  <c r="U228" i="4" s="1"/>
  <c r="F227" i="4"/>
  <c r="U227" i="4" s="1"/>
  <c r="Q226" i="4"/>
  <c r="F226" i="4"/>
  <c r="Q225" i="4"/>
  <c r="F225" i="4"/>
  <c r="Q224" i="4"/>
  <c r="F224" i="4"/>
  <c r="F221" i="4"/>
  <c r="U221" i="4" s="1"/>
  <c r="F230" i="4"/>
  <c r="U230" i="4" s="1"/>
  <c r="Q220" i="4"/>
  <c r="F220" i="4"/>
  <c r="Q268" i="4"/>
  <c r="Q217" i="4"/>
  <c r="F217" i="4"/>
  <c r="F216" i="4"/>
  <c r="Q219" i="4"/>
  <c r="F219" i="4"/>
  <c r="Q218" i="4"/>
  <c r="F218" i="4"/>
  <c r="G218" i="4" s="1"/>
  <c r="T218" i="4"/>
  <c r="Q204" i="4"/>
  <c r="Q213" i="4"/>
  <c r="F213" i="4"/>
  <c r="F211" i="4"/>
  <c r="U211" i="4" s="1"/>
  <c r="Q212" i="4"/>
  <c r="F212" i="4"/>
  <c r="F209" i="4"/>
  <c r="U209" i="4" s="1"/>
  <c r="Q214" i="4"/>
  <c r="F214" i="4"/>
  <c r="F248" i="4"/>
  <c r="F247" i="4"/>
  <c r="U247" i="4" s="1"/>
  <c r="Q206" i="4"/>
  <c r="Q207" i="4"/>
  <c r="F207" i="4"/>
  <c r="F205" i="4"/>
  <c r="Q279" i="4"/>
  <c r="Q271" i="4"/>
  <c r="F203" i="4"/>
  <c r="R52" i="4"/>
  <c r="D7" i="5"/>
  <c r="U21" i="4"/>
  <c r="V21" i="4" s="1"/>
  <c r="U20" i="4"/>
  <c r="V20" i="4" s="1"/>
  <c r="D6" i="5"/>
  <c r="D5" i="5"/>
  <c r="D4" i="5"/>
  <c r="D3" i="5"/>
  <c r="F198" i="4"/>
  <c r="U198" i="4" s="1"/>
  <c r="F195" i="4"/>
  <c r="U195" i="4" s="1"/>
  <c r="Q187" i="4"/>
  <c r="F186" i="4"/>
  <c r="Q185" i="4"/>
  <c r="Q121" i="4"/>
  <c r="Q130" i="4"/>
  <c r="Q120" i="4"/>
  <c r="Q118" i="4"/>
  <c r="Q128" i="4"/>
  <c r="Q117" i="4"/>
  <c r="T119" i="4"/>
  <c r="Q116" i="4"/>
  <c r="Q115" i="4"/>
  <c r="Q112" i="4"/>
  <c r="Q111" i="4"/>
  <c r="Q109" i="4"/>
  <c r="Q323" i="4"/>
  <c r="T323" i="4"/>
  <c r="Q322" i="4"/>
  <c r="T322" i="4"/>
  <c r="Q321" i="4"/>
  <c r="T321" i="4"/>
  <c r="T320" i="4"/>
  <c r="I298" i="4"/>
  <c r="P298" i="4" s="1"/>
  <c r="Q31" i="4"/>
  <c r="R31" i="4" s="1"/>
  <c r="G261" i="4" l="1"/>
  <c r="U261" i="4"/>
  <c r="R218" i="4"/>
  <c r="U218" i="4" s="1"/>
  <c r="V218" i="4" l="1"/>
  <c r="F132" i="4"/>
  <c r="G132" i="4" l="1"/>
  <c r="U132" i="4"/>
  <c r="Q379" i="4"/>
  <c r="Q378" i="4"/>
  <c r="Q356" i="4"/>
  <c r="Q34" i="4"/>
  <c r="R34" i="4" s="1"/>
  <c r="Q18" i="4" l="1"/>
  <c r="R18" i="4" s="1"/>
  <c r="Q33" i="4"/>
  <c r="R33" i="4" l="1"/>
  <c r="E460" i="4"/>
  <c r="G352" i="4" l="1"/>
  <c r="V352" i="4" s="1"/>
  <c r="G85" i="4"/>
  <c r="Q429" i="4"/>
  <c r="U52" i="4"/>
  <c r="V52" i="4" s="1"/>
  <c r="F106" i="4" l="1"/>
  <c r="U106" i="4" s="1"/>
  <c r="F281" i="4"/>
  <c r="G281" i="4" s="1"/>
  <c r="F441" i="4" l="1"/>
  <c r="U441" i="4" s="1"/>
  <c r="F440" i="4"/>
  <c r="U440" i="4" s="1"/>
  <c r="F439" i="4"/>
  <c r="U439" i="4" s="1"/>
  <c r="F407" i="4"/>
  <c r="U407" i="4" s="1"/>
  <c r="G350" i="4"/>
  <c r="V350" i="4" s="1"/>
  <c r="F341" i="4"/>
  <c r="U341" i="4" s="1"/>
  <c r="F417" i="4"/>
  <c r="U417" i="4" s="1"/>
  <c r="F416" i="4"/>
  <c r="U416" i="4" s="1"/>
  <c r="F415" i="4"/>
  <c r="U415" i="4" s="1"/>
  <c r="F411" i="4"/>
  <c r="U411" i="4" s="1"/>
  <c r="F410" i="4"/>
  <c r="U410" i="4" s="1"/>
  <c r="F405" i="4"/>
  <c r="F401" i="4"/>
  <c r="U401" i="4" s="1"/>
  <c r="F396" i="4"/>
  <c r="F385" i="4"/>
  <c r="T82" i="4"/>
  <c r="G405" i="4" l="1"/>
  <c r="U405" i="4"/>
  <c r="R82" i="4"/>
  <c r="G385" i="4"/>
  <c r="U385" i="4"/>
  <c r="Q431" i="4"/>
  <c r="U82" i="4" l="1"/>
  <c r="V82" i="4" s="1"/>
  <c r="Q359" i="4"/>
  <c r="Q32" i="4"/>
  <c r="R32" i="4" s="1"/>
  <c r="Q424" i="4" l="1"/>
  <c r="Q427" i="4"/>
  <c r="Q432" i="4"/>
  <c r="Q366" i="4" l="1"/>
  <c r="T84" i="4" l="1"/>
  <c r="T379" i="4"/>
  <c r="R379" i="4" l="1"/>
  <c r="R84" i="4"/>
  <c r="G349" i="4"/>
  <c r="V349" i="4" s="1"/>
  <c r="U379" i="4" l="1"/>
  <c r="V379" i="4" s="1"/>
  <c r="U84" i="4"/>
  <c r="V84" i="4" s="1"/>
  <c r="G253" i="4"/>
  <c r="T253" i="4"/>
  <c r="T251" i="4"/>
  <c r="R253" i="4" l="1"/>
  <c r="R251" i="4"/>
  <c r="G221" i="4"/>
  <c r="V221" i="4" s="1"/>
  <c r="G250" i="4"/>
  <c r="V250" i="4" s="1"/>
  <c r="G236" i="4"/>
  <c r="V236" i="4" s="1"/>
  <c r="T225" i="4"/>
  <c r="G263" i="4"/>
  <c r="V263" i="4" s="1"/>
  <c r="R249" i="4" l="1"/>
  <c r="R225" i="4"/>
  <c r="G254" i="4"/>
  <c r="V254" i="4" s="1"/>
  <c r="G241" i="4"/>
  <c r="T214" i="4"/>
  <c r="G199" i="4" l="1"/>
  <c r="Q348" i="4" l="1"/>
  <c r="R54" i="4" l="1"/>
  <c r="U54" i="4" l="1"/>
  <c r="V54" i="4" s="1"/>
  <c r="G396" i="4"/>
  <c r="T125" i="4" l="1"/>
  <c r="T126" i="4"/>
  <c r="T127" i="4"/>
  <c r="T124" i="4"/>
  <c r="T113" i="4"/>
  <c r="R127" i="4" l="1"/>
  <c r="R126" i="4"/>
  <c r="R125" i="4"/>
  <c r="R124" i="4"/>
  <c r="U127" i="4" l="1"/>
  <c r="V127" i="4" s="1"/>
  <c r="U124" i="4"/>
  <c r="V124" i="4" s="1"/>
  <c r="U125" i="4"/>
  <c r="V125" i="4" s="1"/>
  <c r="U126" i="4"/>
  <c r="V126" i="4" s="1"/>
  <c r="Q23" i="4"/>
  <c r="R23" i="4" s="1"/>
  <c r="R37" i="4" s="1"/>
  <c r="F346" i="4"/>
  <c r="U346" i="4" s="1"/>
  <c r="G106" i="4"/>
  <c r="V106" i="4" s="1"/>
  <c r="Q68" i="4" l="1"/>
  <c r="Q65" i="4"/>
  <c r="Q67" i="4"/>
  <c r="F469" i="4"/>
  <c r="Q434" i="4" l="1"/>
  <c r="T290" i="4" l="1"/>
  <c r="T348" i="4"/>
  <c r="U290" i="4" l="1"/>
  <c r="R348" i="4"/>
  <c r="I111" i="4"/>
  <c r="P111" i="4" s="1"/>
  <c r="I109" i="4"/>
  <c r="P109" i="4" s="1"/>
  <c r="U348" i="4" l="1"/>
  <c r="V348" i="4" s="1"/>
  <c r="G353" i="4"/>
  <c r="V353" i="4" s="1"/>
  <c r="G351" i="4"/>
  <c r="G341" i="4"/>
  <c r="U43" i="4"/>
  <c r="V43" i="4" s="1"/>
  <c r="U42" i="4"/>
  <c r="V42" i="4" s="1"/>
  <c r="U41" i="4"/>
  <c r="V41" i="4" s="1"/>
  <c r="U149" i="4"/>
  <c r="U150" i="4"/>
  <c r="T194" i="4" l="1"/>
  <c r="T213" i="4" l="1"/>
  <c r="T220" i="4"/>
  <c r="T217" i="4"/>
  <c r="T237" i="4"/>
  <c r="T238" i="4"/>
  <c r="T239" i="4"/>
  <c r="T212" i="4"/>
  <c r="T224" i="4"/>
  <c r="T255" i="4"/>
  <c r="T232" i="4"/>
  <c r="T223" i="4"/>
  <c r="T222" i="4"/>
  <c r="T226" i="4"/>
  <c r="T245" i="4"/>
  <c r="T235" i="4"/>
  <c r="T215" i="4"/>
  <c r="U215" i="4" s="1"/>
  <c r="T219" i="4"/>
  <c r="T240" i="4"/>
  <c r="T259" i="4"/>
  <c r="T207" i="4"/>
  <c r="T206" i="4"/>
  <c r="T257" i="4"/>
  <c r="T256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U205" i="4" l="1"/>
  <c r="R215" i="4"/>
  <c r="U241" i="4"/>
  <c r="U216" i="4"/>
  <c r="U203" i="4"/>
  <c r="U217" i="4"/>
  <c r="R240" i="4"/>
  <c r="R219" i="4"/>
  <c r="R232" i="4"/>
  <c r="U232" i="4"/>
  <c r="R278" i="4"/>
  <c r="R279" i="4"/>
  <c r="R273" i="4"/>
  <c r="R276" i="4"/>
  <c r="R272" i="4"/>
  <c r="R268" i="4"/>
  <c r="R265" i="4"/>
  <c r="R275" i="4"/>
  <c r="R280" i="4"/>
  <c r="R277" i="4"/>
  <c r="R274" i="4"/>
  <c r="R270" i="4"/>
  <c r="R266" i="4"/>
  <c r="R271" i="4"/>
  <c r="R269" i="4"/>
  <c r="R267" i="4"/>
  <c r="R264" i="4"/>
  <c r="R256" i="4"/>
  <c r="R257" i="4"/>
  <c r="U277" i="4" l="1"/>
  <c r="V277" i="4" s="1"/>
  <c r="U268" i="4"/>
  <c r="V268" i="4" s="1"/>
  <c r="U279" i="4"/>
  <c r="V279" i="4" s="1"/>
  <c r="U271" i="4"/>
  <c r="V271" i="4" s="1"/>
  <c r="U280" i="4"/>
  <c r="V280" i="4" s="1"/>
  <c r="U272" i="4"/>
  <c r="V272" i="4" s="1"/>
  <c r="U278" i="4"/>
  <c r="V278" i="4" s="1"/>
  <c r="U266" i="4"/>
  <c r="V266" i="4" s="1"/>
  <c r="U267" i="4"/>
  <c r="V267" i="4" s="1"/>
  <c r="U270" i="4"/>
  <c r="V270" i="4" s="1"/>
  <c r="U275" i="4"/>
  <c r="V275" i="4" s="1"/>
  <c r="U276" i="4"/>
  <c r="V276" i="4"/>
  <c r="U264" i="4"/>
  <c r="V264" i="4" s="1"/>
  <c r="U269" i="4"/>
  <c r="V269" i="4" s="1"/>
  <c r="U274" i="4"/>
  <c r="V274" i="4" s="1"/>
  <c r="U265" i="4"/>
  <c r="V265" i="4" s="1"/>
  <c r="U273" i="4"/>
  <c r="V273" i="4" s="1"/>
  <c r="T344" i="4"/>
  <c r="T90" i="4"/>
  <c r="T89" i="4"/>
  <c r="T80" i="4"/>
  <c r="U344" i="4" l="1"/>
  <c r="R90" i="4"/>
  <c r="T351" i="4"/>
  <c r="T63" i="4"/>
  <c r="T64" i="4"/>
  <c r="U90" i="4" l="1"/>
  <c r="V90" i="4" s="1"/>
  <c r="R351" i="4"/>
  <c r="R64" i="4"/>
  <c r="R63" i="4"/>
  <c r="K295" i="4"/>
  <c r="P295" i="4" s="1"/>
  <c r="U64" i="4" l="1"/>
  <c r="V64" i="4" s="1"/>
  <c r="U351" i="4"/>
  <c r="V351" i="4" s="1"/>
  <c r="U63" i="4"/>
  <c r="V63" i="4" s="1"/>
  <c r="T295" i="4"/>
  <c r="T70" i="4"/>
  <c r="K303" i="4"/>
  <c r="P303" i="4" s="1"/>
  <c r="R295" i="4" l="1"/>
  <c r="U281" i="4"/>
  <c r="U295" i="4" l="1"/>
  <c r="V295" i="4" s="1"/>
  <c r="T182" i="4"/>
  <c r="T308" i="4"/>
  <c r="T145" i="4"/>
  <c r="R182" i="4" l="1"/>
  <c r="R145" i="4"/>
  <c r="R308" i="4"/>
  <c r="U308" i="4" l="1"/>
  <c r="V308" i="4" s="1"/>
  <c r="U145" i="4"/>
  <c r="V145" i="4" s="1"/>
  <c r="U182" i="4"/>
  <c r="V182" i="4" s="1"/>
  <c r="G395" i="4"/>
  <c r="E471" i="4"/>
  <c r="E470" i="4"/>
  <c r="E469" i="4"/>
  <c r="F468" i="4"/>
  <c r="E468" i="4"/>
  <c r="E467" i="4"/>
  <c r="E466" i="4"/>
  <c r="E465" i="4"/>
  <c r="R453" i="4"/>
  <c r="G453" i="4"/>
  <c r="G452" i="4"/>
  <c r="V452" i="4" s="1"/>
  <c r="G451" i="4"/>
  <c r="V451" i="4" s="1"/>
  <c r="G450" i="4"/>
  <c r="V450" i="4" s="1"/>
  <c r="G445" i="4"/>
  <c r="R441" i="4"/>
  <c r="G441" i="4"/>
  <c r="G440" i="4"/>
  <c r="V440" i="4" s="1"/>
  <c r="G439" i="4"/>
  <c r="V439" i="4" s="1"/>
  <c r="G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U421" i="4"/>
  <c r="R421" i="4"/>
  <c r="G418" i="4"/>
  <c r="G417" i="4"/>
  <c r="G416" i="4"/>
  <c r="G415" i="4"/>
  <c r="R411" i="4"/>
  <c r="G411" i="4"/>
  <c r="R410" i="4"/>
  <c r="G410" i="4"/>
  <c r="R407" i="4"/>
  <c r="R408" i="4" s="1"/>
  <c r="G407" i="4"/>
  <c r="G406" i="4"/>
  <c r="R405" i="4"/>
  <c r="V405" i="4" s="1"/>
  <c r="R402" i="4"/>
  <c r="G402" i="4"/>
  <c r="R401" i="4"/>
  <c r="G401" i="4"/>
  <c r="G398" i="4"/>
  <c r="V398" i="4" s="1"/>
  <c r="R397" i="4"/>
  <c r="R396" i="4"/>
  <c r="R395" i="4"/>
  <c r="R385" i="4"/>
  <c r="V385" i="4" s="1"/>
  <c r="R384" i="4"/>
  <c r="V384" i="4" s="1"/>
  <c r="R383" i="4"/>
  <c r="F383" i="4"/>
  <c r="R392" i="4"/>
  <c r="R393" i="4" s="1"/>
  <c r="G392" i="4"/>
  <c r="R389" i="4"/>
  <c r="G389" i="4"/>
  <c r="T380" i="4"/>
  <c r="T378" i="4"/>
  <c r="T376" i="4"/>
  <c r="T375" i="4"/>
  <c r="T373" i="4"/>
  <c r="T371" i="4"/>
  <c r="T370" i="4"/>
  <c r="T366" i="4"/>
  <c r="T365" i="4"/>
  <c r="T363" i="4"/>
  <c r="T362" i="4"/>
  <c r="T361" i="4"/>
  <c r="T360" i="4"/>
  <c r="T359" i="4"/>
  <c r="T358" i="4"/>
  <c r="T357" i="4"/>
  <c r="T356" i="4"/>
  <c r="T355" i="4"/>
  <c r="T354" i="4"/>
  <c r="R347" i="4"/>
  <c r="G347" i="4"/>
  <c r="R346" i="4"/>
  <c r="G346" i="4"/>
  <c r="R345" i="4"/>
  <c r="G345" i="4"/>
  <c r="R344" i="4"/>
  <c r="V344" i="4" s="1"/>
  <c r="Q342" i="4"/>
  <c r="G342" i="4"/>
  <c r="R341" i="4"/>
  <c r="V341" i="4" s="1"/>
  <c r="R336" i="4"/>
  <c r="V336" i="4" s="1"/>
  <c r="G337" i="4"/>
  <c r="V337" i="4" s="1"/>
  <c r="R334" i="4"/>
  <c r="T331" i="4"/>
  <c r="U331" i="4" s="1"/>
  <c r="T330" i="4"/>
  <c r="T328" i="4"/>
  <c r="G327" i="4"/>
  <c r="R324" i="4"/>
  <c r="G324" i="4"/>
  <c r="R323" i="4"/>
  <c r="R322" i="4"/>
  <c r="G322" i="4"/>
  <c r="G321" i="4"/>
  <c r="R320" i="4"/>
  <c r="G320" i="4"/>
  <c r="T319" i="4"/>
  <c r="T318" i="4"/>
  <c r="T317" i="4"/>
  <c r="G317" i="4"/>
  <c r="T316" i="4"/>
  <c r="G316" i="4"/>
  <c r="T315" i="4"/>
  <c r="G315" i="4"/>
  <c r="T314" i="4"/>
  <c r="G314" i="4"/>
  <c r="T313" i="4"/>
  <c r="G313" i="4"/>
  <c r="T312" i="4"/>
  <c r="G312" i="4"/>
  <c r="T311" i="4"/>
  <c r="G311" i="4"/>
  <c r="T310" i="4"/>
  <c r="G310" i="4"/>
  <c r="T309" i="4"/>
  <c r="G309" i="4"/>
  <c r="T307" i="4"/>
  <c r="G307" i="4"/>
  <c r="T306" i="4"/>
  <c r="G306" i="4"/>
  <c r="T305" i="4"/>
  <c r="G305" i="4"/>
  <c r="T304" i="4"/>
  <c r="G304" i="4"/>
  <c r="T303" i="4"/>
  <c r="T302" i="4"/>
  <c r="G302" i="4"/>
  <c r="T301" i="4"/>
  <c r="G301" i="4"/>
  <c r="T300" i="4"/>
  <c r="G300" i="4"/>
  <c r="T299" i="4"/>
  <c r="G299" i="4"/>
  <c r="T298" i="4"/>
  <c r="G298" i="4"/>
  <c r="T297" i="4"/>
  <c r="G297" i="4"/>
  <c r="R296" i="4"/>
  <c r="G296" i="4"/>
  <c r="R294" i="4"/>
  <c r="G294" i="4"/>
  <c r="R293" i="4"/>
  <c r="G293" i="4"/>
  <c r="R292" i="4"/>
  <c r="G292" i="4"/>
  <c r="T291" i="4"/>
  <c r="G291" i="4"/>
  <c r="R290" i="4"/>
  <c r="G290" i="4"/>
  <c r="R289" i="4"/>
  <c r="G289" i="4"/>
  <c r="R288" i="4"/>
  <c r="G288" i="4"/>
  <c r="G287" i="4"/>
  <c r="R286" i="4"/>
  <c r="G286" i="4"/>
  <c r="T285" i="4"/>
  <c r="G285" i="4"/>
  <c r="R281" i="4"/>
  <c r="V281" i="4" s="1"/>
  <c r="R262" i="4"/>
  <c r="G262" i="4"/>
  <c r="R261" i="4"/>
  <c r="V261" i="4" s="1"/>
  <c r="R260" i="4"/>
  <c r="G260" i="4"/>
  <c r="R259" i="4"/>
  <c r="G259" i="4"/>
  <c r="R258" i="4"/>
  <c r="G258" i="4"/>
  <c r="G257" i="4"/>
  <c r="G256" i="4"/>
  <c r="R255" i="4"/>
  <c r="G255" i="4"/>
  <c r="R252" i="4"/>
  <c r="G252" i="4"/>
  <c r="G251" i="4"/>
  <c r="G249" i="4"/>
  <c r="R248" i="4"/>
  <c r="G248" i="4"/>
  <c r="R247" i="4"/>
  <c r="G247" i="4"/>
  <c r="R246" i="4"/>
  <c r="G246" i="4"/>
  <c r="R245" i="4"/>
  <c r="G245" i="4"/>
  <c r="R244" i="4"/>
  <c r="G244" i="4"/>
  <c r="R243" i="4"/>
  <c r="G243" i="4"/>
  <c r="R242" i="4"/>
  <c r="G242" i="4"/>
  <c r="R241" i="4"/>
  <c r="V241" i="4" s="1"/>
  <c r="G240" i="4"/>
  <c r="R239" i="4"/>
  <c r="G239" i="4"/>
  <c r="R238" i="4"/>
  <c r="G238" i="4"/>
  <c r="R237" i="4"/>
  <c r="G237" i="4"/>
  <c r="R235" i="4"/>
  <c r="G235" i="4"/>
  <c r="R234" i="4"/>
  <c r="G234" i="4"/>
  <c r="R233" i="4"/>
  <c r="G233" i="4"/>
  <c r="G232" i="4"/>
  <c r="V232" i="4" s="1"/>
  <c r="R231" i="4"/>
  <c r="G231" i="4"/>
  <c r="R230" i="4"/>
  <c r="G230" i="4"/>
  <c r="V230" i="4" s="1"/>
  <c r="R229" i="4"/>
  <c r="G229" i="4"/>
  <c r="R228" i="4"/>
  <c r="G228" i="4"/>
  <c r="V228" i="4" s="1"/>
  <c r="R227" i="4"/>
  <c r="G227" i="4"/>
  <c r="R226" i="4"/>
  <c r="G226" i="4"/>
  <c r="G225" i="4"/>
  <c r="R224" i="4"/>
  <c r="G224" i="4"/>
  <c r="R223" i="4"/>
  <c r="G223" i="4"/>
  <c r="R222" i="4"/>
  <c r="G222" i="4"/>
  <c r="R220" i="4"/>
  <c r="G220" i="4"/>
  <c r="G219" i="4"/>
  <c r="R217" i="4"/>
  <c r="G217" i="4"/>
  <c r="V217" i="4" s="1"/>
  <c r="R216" i="4"/>
  <c r="G216" i="4"/>
  <c r="G215" i="4"/>
  <c r="V215" i="4" s="1"/>
  <c r="R214" i="4"/>
  <c r="G214" i="4"/>
  <c r="R213" i="4"/>
  <c r="G213" i="4"/>
  <c r="R212" i="4"/>
  <c r="G212" i="4"/>
  <c r="R211" i="4"/>
  <c r="G211" i="4"/>
  <c r="R210" i="4"/>
  <c r="G210" i="4"/>
  <c r="R209" i="4"/>
  <c r="G209" i="4"/>
  <c r="R208" i="4"/>
  <c r="G208" i="4"/>
  <c r="R207" i="4"/>
  <c r="G207" i="4"/>
  <c r="R206" i="4"/>
  <c r="G206" i="4"/>
  <c r="R205" i="4"/>
  <c r="G205" i="4"/>
  <c r="T204" i="4"/>
  <c r="G204" i="4"/>
  <c r="R203" i="4"/>
  <c r="G203" i="4"/>
  <c r="T202" i="4"/>
  <c r="G202" i="4"/>
  <c r="R199" i="4"/>
  <c r="V199" i="4" s="1"/>
  <c r="R198" i="4"/>
  <c r="G198" i="4"/>
  <c r="V198" i="4" s="1"/>
  <c r="R196" i="4"/>
  <c r="R195" i="4"/>
  <c r="R194" i="4"/>
  <c r="R193" i="4"/>
  <c r="R192" i="4"/>
  <c r="G192" i="4"/>
  <c r="T191" i="4"/>
  <c r="T190" i="4"/>
  <c r="T189" i="4"/>
  <c r="T188" i="4"/>
  <c r="T187" i="4"/>
  <c r="T186" i="4"/>
  <c r="T185" i="4"/>
  <c r="R184" i="4"/>
  <c r="R183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1" i="4"/>
  <c r="G151" i="4"/>
  <c r="R150" i="4"/>
  <c r="R149" i="4"/>
  <c r="T148" i="4"/>
  <c r="G148" i="4"/>
  <c r="T147" i="4"/>
  <c r="G147" i="4"/>
  <c r="T146" i="4"/>
  <c r="G146" i="4"/>
  <c r="R144" i="4"/>
  <c r="G144" i="4"/>
  <c r="R143" i="4"/>
  <c r="G143" i="4"/>
  <c r="R142" i="4"/>
  <c r="G142" i="4"/>
  <c r="R141" i="4"/>
  <c r="G141" i="4"/>
  <c r="T140" i="4"/>
  <c r="T139" i="4"/>
  <c r="R138" i="4"/>
  <c r="R137" i="4"/>
  <c r="T136" i="4"/>
  <c r="R132" i="4"/>
  <c r="V132" i="4" s="1"/>
  <c r="R131" i="4"/>
  <c r="R130" i="4"/>
  <c r="R129" i="4"/>
  <c r="R128" i="4"/>
  <c r="R123" i="4"/>
  <c r="G122" i="4"/>
  <c r="V122" i="4" s="1"/>
  <c r="T121" i="4"/>
  <c r="T120" i="4"/>
  <c r="R119" i="4"/>
  <c r="G119" i="4"/>
  <c r="R118" i="4"/>
  <c r="T117" i="4"/>
  <c r="T116" i="4"/>
  <c r="T115" i="4"/>
  <c r="T114" i="4"/>
  <c r="G114" i="4"/>
  <c r="T112" i="4"/>
  <c r="T110" i="4"/>
  <c r="G110" i="4"/>
  <c r="T109" i="4"/>
  <c r="G105" i="4"/>
  <c r="V105" i="4" s="1"/>
  <c r="G104" i="4"/>
  <c r="V104" i="4" s="1"/>
  <c r="G103" i="4"/>
  <c r="V103" i="4" s="1"/>
  <c r="G102" i="4"/>
  <c r="V102" i="4" s="1"/>
  <c r="G101" i="4"/>
  <c r="V101" i="4" s="1"/>
  <c r="G100" i="4"/>
  <c r="V100" i="4" s="1"/>
  <c r="G99" i="4"/>
  <c r="V99" i="4" s="1"/>
  <c r="G98" i="4"/>
  <c r="V98" i="4" s="1"/>
  <c r="G97" i="4"/>
  <c r="V97" i="4" s="1"/>
  <c r="G96" i="4"/>
  <c r="V96" i="4" s="1"/>
  <c r="R89" i="4"/>
  <c r="T79" i="4"/>
  <c r="T76" i="4"/>
  <c r="T72" i="4"/>
  <c r="R69" i="4"/>
  <c r="T68" i="4"/>
  <c r="T67" i="4"/>
  <c r="T66" i="4"/>
  <c r="T65" i="4"/>
  <c r="T62" i="4"/>
  <c r="R58" i="4"/>
  <c r="G57" i="4"/>
  <c r="R50" i="4"/>
  <c r="R49" i="4"/>
  <c r="U36" i="4"/>
  <c r="V36" i="4" s="1"/>
  <c r="G33" i="4"/>
  <c r="U32" i="4"/>
  <c r="V32" i="4" s="1"/>
  <c r="G31" i="4"/>
  <c r="G30" i="4"/>
  <c r="G29" i="4"/>
  <c r="G28" i="4"/>
  <c r="G27" i="4"/>
  <c r="G26" i="4"/>
  <c r="G25" i="4"/>
  <c r="G24" i="4"/>
  <c r="G23" i="4"/>
  <c r="U22" i="4"/>
  <c r="V22" i="4" s="1"/>
  <c r="U19" i="4"/>
  <c r="V19" i="4" s="1"/>
  <c r="U18" i="4"/>
  <c r="V18" i="4" s="1"/>
  <c r="U17" i="4"/>
  <c r="V17" i="4" s="1"/>
  <c r="U16" i="4"/>
  <c r="V16" i="4" s="1"/>
  <c r="S15" i="4"/>
  <c r="G15" i="4"/>
  <c r="G14" i="4"/>
  <c r="T13" i="4"/>
  <c r="S13" i="4"/>
  <c r="T12" i="4"/>
  <c r="S12" i="4"/>
  <c r="G12" i="4"/>
  <c r="S11" i="4"/>
  <c r="S10" i="4"/>
  <c r="G10" i="4"/>
  <c r="S9" i="4"/>
  <c r="T7" i="4"/>
  <c r="S7" i="4"/>
  <c r="G7" i="4"/>
  <c r="V262" i="4" l="1"/>
  <c r="V345" i="4"/>
  <c r="V347" i="4"/>
  <c r="V290" i="4"/>
  <c r="V402" i="4"/>
  <c r="V407" i="4"/>
  <c r="V411" i="4"/>
  <c r="V210" i="4"/>
  <c r="V242" i="4"/>
  <c r="V244" i="4"/>
  <c r="V246" i="4"/>
  <c r="V252" i="4"/>
  <c r="V324" i="4"/>
  <c r="V441" i="4"/>
  <c r="V401" i="4"/>
  <c r="V453" i="4"/>
  <c r="U7" i="4"/>
  <c r="V7" i="4" s="1"/>
  <c r="U14" i="4"/>
  <c r="V14" i="4" s="1"/>
  <c r="V192" i="4"/>
  <c r="V216" i="4"/>
  <c r="U219" i="4"/>
  <c r="V219" i="4" s="1"/>
  <c r="V227" i="4"/>
  <c r="V229" i="4"/>
  <c r="V231" i="4"/>
  <c r="U251" i="4"/>
  <c r="V251" i="4" s="1"/>
  <c r="V346" i="4"/>
  <c r="U427" i="4"/>
  <c r="V427" i="4" s="1"/>
  <c r="U431" i="4"/>
  <c r="V431" i="4" s="1"/>
  <c r="U435" i="4"/>
  <c r="V435" i="4" s="1"/>
  <c r="U225" i="4"/>
  <c r="V225" i="4" s="1"/>
  <c r="G393" i="4"/>
  <c r="V392" i="4"/>
  <c r="U397" i="4"/>
  <c r="V397" i="4" s="1"/>
  <c r="U428" i="4"/>
  <c r="V428" i="4" s="1"/>
  <c r="U432" i="4"/>
  <c r="V432" i="4" s="1"/>
  <c r="U436" i="4"/>
  <c r="V436" i="4" s="1"/>
  <c r="V395" i="4"/>
  <c r="U50" i="4"/>
  <c r="V50" i="4" s="1"/>
  <c r="U69" i="4"/>
  <c r="V69" i="4" s="1"/>
  <c r="U137" i="4"/>
  <c r="V137" i="4" s="1"/>
  <c r="U425" i="4"/>
  <c r="V425" i="4" s="1"/>
  <c r="U429" i="4"/>
  <c r="U433" i="4"/>
  <c r="V433" i="4" s="1"/>
  <c r="U12" i="4"/>
  <c r="V12" i="4" s="1"/>
  <c r="U138" i="4"/>
  <c r="V138" i="4" s="1"/>
  <c r="V203" i="4"/>
  <c r="V205" i="4"/>
  <c r="V209" i="4"/>
  <c r="V211" i="4"/>
  <c r="V233" i="4"/>
  <c r="V243" i="4"/>
  <c r="V247" i="4"/>
  <c r="U249" i="4"/>
  <c r="V249" i="4" s="1"/>
  <c r="V260" i="4"/>
  <c r="G332" i="4"/>
  <c r="G390" i="4"/>
  <c r="V389" i="4"/>
  <c r="V410" i="4"/>
  <c r="R422" i="4"/>
  <c r="V421" i="4"/>
  <c r="U426" i="4"/>
  <c r="V426" i="4" s="1"/>
  <c r="U430" i="4"/>
  <c r="V430" i="4" s="1"/>
  <c r="U434" i="4"/>
  <c r="V434" i="4" s="1"/>
  <c r="G446" i="4"/>
  <c r="R342" i="4"/>
  <c r="R442" i="4"/>
  <c r="U58" i="4"/>
  <c r="V58" i="4" s="1"/>
  <c r="R59" i="4"/>
  <c r="U334" i="4"/>
  <c r="V334" i="4" s="1"/>
  <c r="R335" i="4"/>
  <c r="R399" i="4"/>
  <c r="R406" i="4"/>
  <c r="U49" i="4"/>
  <c r="V49" i="4" s="1"/>
  <c r="R390" i="4"/>
  <c r="R386" i="4"/>
  <c r="R403" i="4"/>
  <c r="R412" i="4"/>
  <c r="U89" i="4"/>
  <c r="U91" i="4" s="1"/>
  <c r="R91" i="4"/>
  <c r="U424" i="4"/>
  <c r="V424" i="4" s="1"/>
  <c r="R437" i="4"/>
  <c r="G338" i="4"/>
  <c r="R361" i="4"/>
  <c r="R370" i="4"/>
  <c r="U360" i="4"/>
  <c r="U327" i="4"/>
  <c r="R300" i="4"/>
  <c r="R302" i="4"/>
  <c r="U302" i="4" s="1"/>
  <c r="R318" i="4"/>
  <c r="R285" i="4"/>
  <c r="R319" i="4"/>
  <c r="R309" i="4"/>
  <c r="U309" i="4" s="1"/>
  <c r="R311" i="4"/>
  <c r="U311" i="4" s="1"/>
  <c r="R315" i="4"/>
  <c r="R317" i="4"/>
  <c r="U161" i="4"/>
  <c r="U177" i="4"/>
  <c r="U190" i="4"/>
  <c r="U158" i="4"/>
  <c r="U166" i="4"/>
  <c r="U178" i="4"/>
  <c r="U159" i="4"/>
  <c r="U163" i="4"/>
  <c r="U171" i="4"/>
  <c r="U179" i="4"/>
  <c r="U188" i="4"/>
  <c r="U160" i="4"/>
  <c r="U180" i="4"/>
  <c r="U189" i="4"/>
  <c r="R112" i="4"/>
  <c r="R76" i="4"/>
  <c r="R68" i="4"/>
  <c r="R79" i="4"/>
  <c r="G383" i="4"/>
  <c r="U383" i="4"/>
  <c r="G381" i="4"/>
  <c r="G399" i="4"/>
  <c r="G325" i="4"/>
  <c r="G133" i="4"/>
  <c r="G412" i="4"/>
  <c r="U57" i="4"/>
  <c r="U59" i="4" s="1"/>
  <c r="G59" i="4"/>
  <c r="U107" i="4"/>
  <c r="G107" i="4"/>
  <c r="U220" i="4"/>
  <c r="V220" i="4" s="1"/>
  <c r="R380" i="4"/>
  <c r="R376" i="4"/>
  <c r="U393" i="4"/>
  <c r="U34" i="4"/>
  <c r="V34" i="4" s="1"/>
  <c r="R321" i="4"/>
  <c r="U321" i="4" s="1"/>
  <c r="G11" i="4"/>
  <c r="R287" i="4"/>
  <c r="U287" i="4" s="1"/>
  <c r="G156" i="4"/>
  <c r="G158" i="4"/>
  <c r="G160" i="4"/>
  <c r="G162" i="4"/>
  <c r="G167" i="4"/>
  <c r="G173" i="4"/>
  <c r="G184" i="4"/>
  <c r="V184" i="4" s="1"/>
  <c r="G185" i="4"/>
  <c r="G187" i="4"/>
  <c r="G189" i="4"/>
  <c r="G193" i="4"/>
  <c r="V193" i="4" s="1"/>
  <c r="G195" i="4"/>
  <c r="V195" i="4" s="1"/>
  <c r="G150" i="4"/>
  <c r="V150" i="4" s="1"/>
  <c r="G152" i="4"/>
  <c r="V152" i="4" s="1"/>
  <c r="G171" i="4"/>
  <c r="G175" i="4"/>
  <c r="G177" i="4"/>
  <c r="G179" i="4"/>
  <c r="G153" i="4"/>
  <c r="V153" i="4" s="1"/>
  <c r="G157" i="4"/>
  <c r="G159" i="4"/>
  <c r="G161" i="4"/>
  <c r="G163" i="4"/>
  <c r="G166" i="4"/>
  <c r="G183" i="4"/>
  <c r="V183" i="4" s="1"/>
  <c r="G186" i="4"/>
  <c r="G188" i="4"/>
  <c r="G190" i="4"/>
  <c r="G194" i="4"/>
  <c r="G196" i="4"/>
  <c r="V196" i="4" s="1"/>
  <c r="G149" i="4"/>
  <c r="V149" i="4" s="1"/>
  <c r="G154" i="4"/>
  <c r="V154" i="4" s="1"/>
  <c r="G178" i="4"/>
  <c r="G180" i="4"/>
  <c r="U396" i="4"/>
  <c r="V396" i="4" s="1"/>
  <c r="U288" i="4"/>
  <c r="V288" i="4" s="1"/>
  <c r="U292" i="4"/>
  <c r="V292" i="4" s="1"/>
  <c r="U294" i="4"/>
  <c r="V294" i="4" s="1"/>
  <c r="U293" i="4"/>
  <c r="V293" i="4" s="1"/>
  <c r="U289" i="4"/>
  <c r="V289" i="4" s="1"/>
  <c r="U286" i="4"/>
  <c r="V286" i="4" s="1"/>
  <c r="U296" i="4"/>
  <c r="V296" i="4" s="1"/>
  <c r="U338" i="4"/>
  <c r="R140" i="4"/>
  <c r="R139" i="4"/>
  <c r="T111" i="4"/>
  <c r="R67" i="4"/>
  <c r="U237" i="4"/>
  <c r="V237" i="4" s="1"/>
  <c r="R62" i="4"/>
  <c r="R65" i="4"/>
  <c r="R66" i="4"/>
  <c r="R185" i="4"/>
  <c r="R151" i="4"/>
  <c r="U151" i="4" s="1"/>
  <c r="R202" i="4"/>
  <c r="R189" i="4"/>
  <c r="R190" i="4"/>
  <c r="R165" i="4"/>
  <c r="R178" i="4"/>
  <c r="R180" i="4"/>
  <c r="R159" i="4"/>
  <c r="R161" i="4"/>
  <c r="R170" i="4"/>
  <c r="R163" i="4"/>
  <c r="R166" i="4"/>
  <c r="R176" i="4"/>
  <c r="R177" i="4"/>
  <c r="R179" i="4"/>
  <c r="R156" i="4"/>
  <c r="R158" i="4"/>
  <c r="R160" i="4"/>
  <c r="R164" i="4"/>
  <c r="R168" i="4"/>
  <c r="R171" i="4"/>
  <c r="E472" i="4"/>
  <c r="R70" i="4"/>
  <c r="R366" i="4"/>
  <c r="U422" i="4"/>
  <c r="R363" i="4"/>
  <c r="R375" i="4"/>
  <c r="U406" i="4"/>
  <c r="V406" i="4" s="1"/>
  <c r="R330" i="4"/>
  <c r="U323" i="4"/>
  <c r="V323" i="4" s="1"/>
  <c r="R362" i="4"/>
  <c r="R115" i="4"/>
  <c r="U123" i="4"/>
  <c r="V123" i="4" s="1"/>
  <c r="U143" i="4"/>
  <c r="V143" i="4" s="1"/>
  <c r="R204" i="4"/>
  <c r="U204" i="4" s="1"/>
  <c r="U257" i="4"/>
  <c r="V257" i="4" s="1"/>
  <c r="R312" i="4"/>
  <c r="U312" i="4" s="1"/>
  <c r="U322" i="4"/>
  <c r="V322" i="4" s="1"/>
  <c r="U245" i="4"/>
  <c r="V245" i="4" s="1"/>
  <c r="U255" i="4"/>
  <c r="V255" i="4" s="1"/>
  <c r="R371" i="4"/>
  <c r="R157" i="4"/>
  <c r="R174" i="4"/>
  <c r="U259" i="4"/>
  <c r="V259" i="4" s="1"/>
  <c r="U119" i="4"/>
  <c r="V119" i="4" s="1"/>
  <c r="U128" i="4"/>
  <c r="V128" i="4" s="1"/>
  <c r="U130" i="4"/>
  <c r="V130" i="4" s="1"/>
  <c r="R147" i="4"/>
  <c r="U147" i="4" s="1"/>
  <c r="U222" i="4"/>
  <c r="V222" i="4" s="1"/>
  <c r="U256" i="4"/>
  <c r="V256" i="4" s="1"/>
  <c r="U300" i="4"/>
  <c r="V300" i="4" s="1"/>
  <c r="R146" i="4"/>
  <c r="U146" i="4" s="1"/>
  <c r="U206" i="4"/>
  <c r="V206" i="4" s="1"/>
  <c r="U248" i="4"/>
  <c r="V248" i="4" s="1"/>
  <c r="U253" i="4"/>
  <c r="V253" i="4" s="1"/>
  <c r="U258" i="4"/>
  <c r="V258" i="4" s="1"/>
  <c r="U131" i="4"/>
  <c r="V131" i="4" s="1"/>
  <c r="R117" i="4"/>
  <c r="U142" i="4"/>
  <c r="V142" i="4" s="1"/>
  <c r="U141" i="4"/>
  <c r="V141" i="4" s="1"/>
  <c r="U26" i="4"/>
  <c r="V26" i="4" s="1"/>
  <c r="U28" i="4"/>
  <c r="V28" i="4" s="1"/>
  <c r="R169" i="4"/>
  <c r="R172" i="4"/>
  <c r="R173" i="4"/>
  <c r="U224" i="4"/>
  <c r="V224" i="4" s="1"/>
  <c r="U226" i="4"/>
  <c r="V226" i="4" s="1"/>
  <c r="R301" i="4"/>
  <c r="U301" i="4" s="1"/>
  <c r="R313" i="4"/>
  <c r="U313" i="4" s="1"/>
  <c r="R316" i="4"/>
  <c r="U316" i="4" s="1"/>
  <c r="R331" i="4"/>
  <c r="V331" i="4" s="1"/>
  <c r="U342" i="4"/>
  <c r="G419" i="4"/>
  <c r="U144" i="4"/>
  <c r="V144" i="4" s="1"/>
  <c r="U238" i="4"/>
  <c r="V238" i="4" s="1"/>
  <c r="G468" i="4"/>
  <c r="I468" i="4" s="1"/>
  <c r="U27" i="4"/>
  <c r="V27" i="4" s="1"/>
  <c r="U29" i="4"/>
  <c r="V29" i="4" s="1"/>
  <c r="U23" i="4"/>
  <c r="V23" i="4" s="1"/>
  <c r="U24" i="4"/>
  <c r="V24" i="4" s="1"/>
  <c r="U33" i="4"/>
  <c r="V33" i="4" s="1"/>
  <c r="U118" i="4"/>
  <c r="V118" i="4" s="1"/>
  <c r="R148" i="4"/>
  <c r="U148" i="4" s="1"/>
  <c r="R167" i="4"/>
  <c r="U213" i="4"/>
  <c r="V213" i="4" s="1"/>
  <c r="R310" i="4"/>
  <c r="U310" i="4" s="1"/>
  <c r="U25" i="4"/>
  <c r="V25" i="4" s="1"/>
  <c r="U30" i="4"/>
  <c r="V30" i="4" s="1"/>
  <c r="U31" i="4"/>
  <c r="V31" i="4" s="1"/>
  <c r="R72" i="4"/>
  <c r="U112" i="4"/>
  <c r="R113" i="4"/>
  <c r="R120" i="4"/>
  <c r="R121" i="4"/>
  <c r="R155" i="4"/>
  <c r="U234" i="4"/>
  <c r="V234" i="4" s="1"/>
  <c r="U235" i="4"/>
  <c r="V235" i="4" s="1"/>
  <c r="R306" i="4"/>
  <c r="U306" i="4" s="1"/>
  <c r="R314" i="4"/>
  <c r="U314" i="4" s="1"/>
  <c r="R327" i="4"/>
  <c r="V327" i="4" s="1"/>
  <c r="R365" i="4"/>
  <c r="R373" i="4"/>
  <c r="R378" i="4"/>
  <c r="G454" i="4"/>
  <c r="U454" i="4" s="1"/>
  <c r="V454" i="4" s="1"/>
  <c r="U10" i="4"/>
  <c r="V10" i="4" s="1"/>
  <c r="U214" i="4"/>
  <c r="V214" i="4" s="1"/>
  <c r="U239" i="4"/>
  <c r="V239" i="4" s="1"/>
  <c r="U129" i="4"/>
  <c r="V129" i="4" s="1"/>
  <c r="G155" i="4"/>
  <c r="U223" i="4"/>
  <c r="V223" i="4" s="1"/>
  <c r="U240" i="4"/>
  <c r="V240" i="4" s="1"/>
  <c r="R297" i="4"/>
  <c r="U297" i="4" s="1"/>
  <c r="U320" i="4"/>
  <c r="V320" i="4" s="1"/>
  <c r="G469" i="4"/>
  <c r="I469" i="4" s="1"/>
  <c r="G8" i="4"/>
  <c r="U79" i="4"/>
  <c r="R110" i="4"/>
  <c r="U110" i="4" s="1"/>
  <c r="R114" i="4"/>
  <c r="U114" i="4" s="1"/>
  <c r="R188" i="4"/>
  <c r="R80" i="4"/>
  <c r="R109" i="4"/>
  <c r="U15" i="4"/>
  <c r="V15" i="4" s="1"/>
  <c r="R51" i="4"/>
  <c r="R116" i="4"/>
  <c r="R136" i="4"/>
  <c r="R162" i="4"/>
  <c r="R181" i="4"/>
  <c r="R187" i="4"/>
  <c r="U208" i="4"/>
  <c r="V208" i="4" s="1"/>
  <c r="U212" i="4"/>
  <c r="V212" i="4" s="1"/>
  <c r="R291" i="4"/>
  <c r="U291" i="4" s="1"/>
  <c r="R298" i="4"/>
  <c r="U298" i="4" s="1"/>
  <c r="R304" i="4"/>
  <c r="U304" i="4" s="1"/>
  <c r="U317" i="4"/>
  <c r="V317" i="4" s="1"/>
  <c r="U408" i="4"/>
  <c r="G408" i="4"/>
  <c r="R186" i="4"/>
  <c r="U207" i="4"/>
  <c r="V207" i="4" s="1"/>
  <c r="R328" i="4"/>
  <c r="G403" i="4"/>
  <c r="R175" i="4"/>
  <c r="Q191" i="4"/>
  <c r="G191" i="4"/>
  <c r="R299" i="4"/>
  <c r="U299" i="4" s="1"/>
  <c r="R303" i="4"/>
  <c r="R305" i="4"/>
  <c r="U305" i="4" s="1"/>
  <c r="G442" i="4"/>
  <c r="U445" i="4"/>
  <c r="V445" i="4" s="1"/>
  <c r="U390" i="4"/>
  <c r="R307" i="4"/>
  <c r="U307" i="4" s="1"/>
  <c r="R354" i="4"/>
  <c r="R356" i="4"/>
  <c r="R358" i="4"/>
  <c r="R360" i="4"/>
  <c r="V360" i="4" s="1"/>
  <c r="R355" i="4"/>
  <c r="R357" i="4"/>
  <c r="R359" i="4"/>
  <c r="V107" i="4" l="1"/>
  <c r="V91" i="4"/>
  <c r="R413" i="4"/>
  <c r="U437" i="4"/>
  <c r="U335" i="4"/>
  <c r="V335" i="4" s="1"/>
  <c r="V390" i="4"/>
  <c r="V305" i="4"/>
  <c r="V89" i="4"/>
  <c r="V309" i="4"/>
  <c r="V342" i="4"/>
  <c r="V313" i="4"/>
  <c r="V437" i="4"/>
  <c r="V160" i="4"/>
  <c r="V304" i="4"/>
  <c r="V178" i="4"/>
  <c r="V159" i="4"/>
  <c r="V177" i="4"/>
  <c r="U328" i="4"/>
  <c r="V328" i="4" s="1"/>
  <c r="U181" i="4"/>
  <c r="V181" i="4" s="1"/>
  <c r="U378" i="4"/>
  <c r="V378" i="4" s="1"/>
  <c r="U176" i="4"/>
  <c r="V176" i="4" s="1"/>
  <c r="U139" i="4"/>
  <c r="V139" i="4" s="1"/>
  <c r="U194" i="4"/>
  <c r="V194" i="4" s="1"/>
  <c r="V112" i="4"/>
  <c r="U358" i="4"/>
  <c r="V358" i="4" s="1"/>
  <c r="U303" i="4"/>
  <c r="V303" i="4" s="1"/>
  <c r="U365" i="4"/>
  <c r="V365" i="4" s="1"/>
  <c r="U120" i="4"/>
  <c r="V120" i="4" s="1"/>
  <c r="U362" i="4"/>
  <c r="V362" i="4" s="1"/>
  <c r="U375" i="4"/>
  <c r="V375" i="4" s="1"/>
  <c r="U70" i="4"/>
  <c r="V70" i="4" s="1"/>
  <c r="U164" i="4"/>
  <c r="V164" i="4" s="1"/>
  <c r="U66" i="4"/>
  <c r="V66" i="4" s="1"/>
  <c r="U67" i="4"/>
  <c r="V67" i="4" s="1"/>
  <c r="V188" i="4"/>
  <c r="V163" i="4"/>
  <c r="V171" i="4"/>
  <c r="U357" i="4"/>
  <c r="V357" i="4" s="1"/>
  <c r="U356" i="4"/>
  <c r="V356" i="4" s="1"/>
  <c r="V408" i="4"/>
  <c r="U116" i="4"/>
  <c r="V116" i="4" s="1"/>
  <c r="U80" i="4"/>
  <c r="V80" i="4" s="1"/>
  <c r="U113" i="4"/>
  <c r="V113" i="4" s="1"/>
  <c r="U172" i="4"/>
  <c r="V172" i="4" s="1"/>
  <c r="U371" i="4"/>
  <c r="V371" i="4" s="1"/>
  <c r="U315" i="4"/>
  <c r="V315" i="4" s="1"/>
  <c r="U363" i="4"/>
  <c r="V363" i="4" s="1"/>
  <c r="U170" i="4"/>
  <c r="V170" i="4" s="1"/>
  <c r="U65" i="4"/>
  <c r="V65" i="4" s="1"/>
  <c r="V180" i="4"/>
  <c r="V161" i="4"/>
  <c r="V179" i="4"/>
  <c r="V189" i="4"/>
  <c r="V158" i="4"/>
  <c r="U380" i="4"/>
  <c r="V380" i="4" s="1"/>
  <c r="V59" i="4"/>
  <c r="U76" i="4"/>
  <c r="V76" i="4" s="1"/>
  <c r="U319" i="4"/>
  <c r="V319" i="4" s="1"/>
  <c r="U361" i="4"/>
  <c r="V361" i="4" s="1"/>
  <c r="V306" i="4"/>
  <c r="V57" i="4"/>
  <c r="V429" i="4"/>
  <c r="V297" i="4"/>
  <c r="V146" i="4"/>
  <c r="V110" i="4"/>
  <c r="V316" i="4"/>
  <c r="V307" i="4"/>
  <c r="V298" i="4"/>
  <c r="U354" i="4"/>
  <c r="V354" i="4" s="1"/>
  <c r="U330" i="4"/>
  <c r="V330" i="4" s="1"/>
  <c r="U165" i="4"/>
  <c r="V165" i="4" s="1"/>
  <c r="G386" i="4"/>
  <c r="G387" i="4" s="1"/>
  <c r="V383" i="4"/>
  <c r="V314" i="4"/>
  <c r="U355" i="4"/>
  <c r="V355" i="4" s="1"/>
  <c r="V422" i="4"/>
  <c r="U373" i="4"/>
  <c r="V373" i="4" s="1"/>
  <c r="U121" i="4"/>
  <c r="V121" i="4" s="1"/>
  <c r="U72" i="4"/>
  <c r="V72" i="4" s="1"/>
  <c r="U117" i="4"/>
  <c r="V117" i="4" s="1"/>
  <c r="U174" i="4"/>
  <c r="V174" i="4" s="1"/>
  <c r="U115" i="4"/>
  <c r="V115" i="4" s="1"/>
  <c r="U366" i="4"/>
  <c r="V366" i="4" s="1"/>
  <c r="U168" i="4"/>
  <c r="V168" i="4" s="1"/>
  <c r="U140" i="4"/>
  <c r="V140" i="4" s="1"/>
  <c r="V190" i="4"/>
  <c r="V166" i="4"/>
  <c r="U412" i="4"/>
  <c r="V412" i="4" s="1"/>
  <c r="V79" i="4"/>
  <c r="U318" i="4"/>
  <c r="V318" i="4" s="1"/>
  <c r="V338" i="4"/>
  <c r="V311" i="4"/>
  <c r="V301" i="4"/>
  <c r="V151" i="4"/>
  <c r="V393" i="4"/>
  <c r="V312" i="4"/>
  <c r="V287" i="4"/>
  <c r="V204" i="4"/>
  <c r="V302" i="4"/>
  <c r="V147" i="4"/>
  <c r="V114" i="4"/>
  <c r="U51" i="4"/>
  <c r="V51" i="4" s="1"/>
  <c r="U8" i="4"/>
  <c r="V8" i="4" s="1"/>
  <c r="U169" i="4"/>
  <c r="V169" i="4" s="1"/>
  <c r="U359" i="4"/>
  <c r="V359" i="4" s="1"/>
  <c r="U11" i="4"/>
  <c r="V11" i="4" s="1"/>
  <c r="U376" i="4"/>
  <c r="V376" i="4" s="1"/>
  <c r="U68" i="4"/>
  <c r="V68" i="4" s="1"/>
  <c r="U370" i="4"/>
  <c r="V370" i="4" s="1"/>
  <c r="V299" i="4"/>
  <c r="V148" i="4"/>
  <c r="V321" i="4"/>
  <c r="V310" i="4"/>
  <c r="V291" i="4"/>
  <c r="R85" i="4"/>
  <c r="U285" i="4"/>
  <c r="V285" i="4" s="1"/>
  <c r="R325" i="4"/>
  <c r="R381" i="4"/>
  <c r="R387" i="4" s="1"/>
  <c r="R55" i="4"/>
  <c r="U136" i="4"/>
  <c r="V136" i="4" s="1"/>
  <c r="U109" i="4"/>
  <c r="V109" i="4" s="1"/>
  <c r="R332" i="4"/>
  <c r="U202" i="4"/>
  <c r="V202" i="4" s="1"/>
  <c r="R282" i="4"/>
  <c r="U386" i="4"/>
  <c r="U399" i="4"/>
  <c r="V399" i="4" s="1"/>
  <c r="G413" i="4"/>
  <c r="U403" i="4"/>
  <c r="V403" i="4" s="1"/>
  <c r="U332" i="4"/>
  <c r="G134" i="4"/>
  <c r="G200" i="4"/>
  <c r="U442" i="4"/>
  <c r="V442" i="4" s="1"/>
  <c r="U186" i="4"/>
  <c r="V186" i="4" s="1"/>
  <c r="U62" i="4"/>
  <c r="G13" i="4"/>
  <c r="U46" i="4"/>
  <c r="V46" i="4" s="1"/>
  <c r="U175" i="4"/>
  <c r="V175" i="4" s="1"/>
  <c r="U173" i="4"/>
  <c r="V173" i="4" s="1"/>
  <c r="U162" i="4"/>
  <c r="V162" i="4" s="1"/>
  <c r="U185" i="4"/>
  <c r="V185" i="4" s="1"/>
  <c r="U187" i="4"/>
  <c r="V187" i="4" s="1"/>
  <c r="U167" i="4"/>
  <c r="V167" i="4" s="1"/>
  <c r="U157" i="4"/>
  <c r="V157" i="4" s="1"/>
  <c r="U156" i="4"/>
  <c r="V156" i="4" s="1"/>
  <c r="F470" i="4"/>
  <c r="G470" i="4" s="1"/>
  <c r="I470" i="4" s="1"/>
  <c r="F465" i="4"/>
  <c r="G465" i="4" s="1"/>
  <c r="R111" i="4"/>
  <c r="R191" i="4"/>
  <c r="U191" i="4" s="1"/>
  <c r="F471" i="4"/>
  <c r="G471" i="4" s="1"/>
  <c r="I471" i="4" s="1"/>
  <c r="U155" i="4"/>
  <c r="V155" i="4" s="1"/>
  <c r="F459" i="4"/>
  <c r="U446" i="4"/>
  <c r="V446" i="4" s="1"/>
  <c r="U413" i="4"/>
  <c r="F466" i="4"/>
  <c r="G466" i="4" s="1"/>
  <c r="I466" i="4" s="1"/>
  <c r="F467" i="4"/>
  <c r="G467" i="4" s="1"/>
  <c r="I467" i="4" s="1"/>
  <c r="U381" i="4" l="1"/>
  <c r="V381" i="4" s="1"/>
  <c r="U13" i="4"/>
  <c r="U37" i="4" s="1"/>
  <c r="V332" i="4"/>
  <c r="U85" i="4"/>
  <c r="V85" i="4" s="1"/>
  <c r="U55" i="4"/>
  <c r="V55" i="4" s="1"/>
  <c r="V413" i="4"/>
  <c r="V191" i="4"/>
  <c r="V386" i="4"/>
  <c r="V13" i="4"/>
  <c r="V62" i="4"/>
  <c r="U111" i="4"/>
  <c r="V111" i="4" s="1"/>
  <c r="U325" i="4"/>
  <c r="V325" i="4" s="1"/>
  <c r="R133" i="4"/>
  <c r="R200" i="4"/>
  <c r="G447" i="4"/>
  <c r="U200" i="4"/>
  <c r="G37" i="4"/>
  <c r="V37" i="4" s="1"/>
  <c r="U465" i="4"/>
  <c r="F461" i="4"/>
  <c r="R415" i="4"/>
  <c r="V415" i="4" s="1"/>
  <c r="F472" i="4"/>
  <c r="U387" i="4" l="1"/>
  <c r="V387" i="4" s="1"/>
  <c r="U133" i="4"/>
  <c r="U134" i="4" s="1"/>
  <c r="V200" i="4"/>
  <c r="R134" i="4"/>
  <c r="R339" i="4" s="1"/>
  <c r="D459" i="4"/>
  <c r="U463" i="4" s="1"/>
  <c r="G472" i="4"/>
  <c r="I465" i="4"/>
  <c r="R416" i="4"/>
  <c r="V416" i="4" s="1"/>
  <c r="V133" i="4" l="1"/>
  <c r="V134" i="4"/>
  <c r="D461" i="4"/>
  <c r="R417" i="4"/>
  <c r="V417" i="4" s="1"/>
  <c r="U419" i="4" l="1"/>
  <c r="R418" i="4"/>
  <c r="V418" i="4" s="1"/>
  <c r="R419" i="4" l="1"/>
  <c r="U447" i="4"/>
  <c r="G282" i="4"/>
  <c r="R447" i="4" l="1"/>
  <c r="V419" i="4"/>
  <c r="G339" i="4"/>
  <c r="U282" i="4"/>
  <c r="V282" i="4" s="1"/>
  <c r="R448" i="4" l="1"/>
  <c r="V447" i="4"/>
  <c r="G448" i="4"/>
  <c r="E459" i="4" s="1"/>
  <c r="U339" i="4"/>
  <c r="V339" i="4" s="1"/>
  <c r="U448" i="4" l="1"/>
  <c r="V448" i="4" s="1"/>
  <c r="G459" i="4"/>
  <c r="G475" i="4" s="1"/>
  <c r="U464" i="4"/>
  <c r="U466" i="4" s="1"/>
</calcChain>
</file>

<file path=xl/sharedStrings.xml><?xml version="1.0" encoding="utf-8"?>
<sst xmlns="http://schemas.openxmlformats.org/spreadsheetml/2006/main" count="527" uniqueCount="513">
  <si>
    <t>BIENES Y / O SERVICIOS</t>
  </si>
  <si>
    <t>FUNCIONAMIENTO</t>
  </si>
  <si>
    <t>INVERSION</t>
  </si>
  <si>
    <t xml:space="preserve">Elementos y/o Servicios </t>
  </si>
  <si>
    <t xml:space="preserve">Q. Solicitada por Dependencia </t>
  </si>
  <si>
    <t>TOTAL Q.  Solicitada</t>
  </si>
  <si>
    <t xml:space="preserve">Existencias en Almacén </t>
  </si>
  <si>
    <t>Q. Total a Adquirir por Funcionamiento</t>
  </si>
  <si>
    <t>VALOR UNITARIO</t>
  </si>
  <si>
    <t>VALOR TOTAL INV.</t>
  </si>
  <si>
    <t>Q. TOTAL  FTO.MAS INV.</t>
  </si>
  <si>
    <t>VALOR TOTAL FTO MAS INV.</t>
  </si>
  <si>
    <t>VALOR TOTAL FTO</t>
  </si>
  <si>
    <t xml:space="preserve">Q. Total a Adquirir por Inversión </t>
  </si>
  <si>
    <t>GASTOS DE PERSONAL</t>
  </si>
  <si>
    <t>SERVICIOS PERSONALES ASOCIADOS A NOMINA</t>
  </si>
  <si>
    <t>SERVICIOS PERSONALES INDIRECTOS</t>
  </si>
  <si>
    <t>GASTOS DE PERSONAL SUPERNUMERARIO</t>
  </si>
  <si>
    <r>
      <t xml:space="preserve">HONORARIOS </t>
    </r>
    <r>
      <rPr>
        <sz val="9"/>
        <color indexed="8"/>
        <rFont val="Arial"/>
        <family val="2"/>
      </rPr>
      <t>(INCLUIDOS LOS DEL CONSEJO DIRECTIVO)</t>
    </r>
  </si>
  <si>
    <t>REMUNERACION SERVICIOS TECNICOS</t>
  </si>
  <si>
    <t>CONTRIBUCIONES INHERENTES A LA NOMINA SECTOR PRIVADO Y PUBLICO</t>
  </si>
  <si>
    <t>EBI - ORGANIZAR Y DESCRIBIR LA DOCUMENTACIÓN PERTENECIENTE AL AGN</t>
  </si>
  <si>
    <t>EBI - DISEÑAR E IMPLEMENTAR EL SISNA</t>
  </si>
  <si>
    <t>EBI - FORTALECER Y MODERNIZAR EL AGN</t>
  </si>
  <si>
    <t>TOTAL GASTOS DE PERSONAL</t>
  </si>
  <si>
    <t>GASTOS GENERALES</t>
  </si>
  <si>
    <t>IMPUESTOS Y MULTAS</t>
  </si>
  <si>
    <t>IMPUESTOS Y CONTRIBUCIONES</t>
  </si>
  <si>
    <t>IMPUESTO DE VEHICULOS</t>
  </si>
  <si>
    <t>IMPUESTO PREDIAL</t>
  </si>
  <si>
    <t>OTROS IMPUESTOS y CAJA MENOR</t>
  </si>
  <si>
    <t>Subtotal  IMPUESTOS Y MULTAS</t>
  </si>
  <si>
    <t>ADQUISICIÓN DE BIENES YSERVICIOS</t>
  </si>
  <si>
    <t>COMPRA DE EQUIPO</t>
  </si>
  <si>
    <t>ENSERES Y EQUIPOS DE OFICINA</t>
  </si>
  <si>
    <t>EQUIPOS Y MAQUINAS PARA OFICINA</t>
  </si>
  <si>
    <t>MOBILIARIO Y ENSERES</t>
  </si>
  <si>
    <t>MATERIALES Y SUMINISTROS</t>
  </si>
  <si>
    <t>Subtotal COMBUSTIBLES Y LUBRICANTES</t>
  </si>
  <si>
    <t>DOTACIÓN (Dotación de Ley + Industrial)</t>
  </si>
  <si>
    <t>DOTACIÓN DE LEY</t>
  </si>
  <si>
    <t>CONJUNTO Ó BATA SERVICIOS GENERALES</t>
  </si>
  <si>
    <t>ZAPATO FORMAL PARA HOMBRE EN CUERO</t>
  </si>
  <si>
    <t>ZAPATO PARA DAMA EN CUERO, CON TACON Y SUELA</t>
  </si>
  <si>
    <t>ZAPATO PARA DAMA EN SUELA ANTIDESLIZANTE</t>
  </si>
  <si>
    <t>Subtotal DOTACIÓN DE LEY</t>
  </si>
  <si>
    <t>DOTACIÓN INDUSTRIAL</t>
  </si>
  <si>
    <t>GUANTES DE NITRILO - CAJAS X 100 UNIDADES</t>
  </si>
  <si>
    <t>OTROS DOTACIÓN INDUSTRIAL</t>
  </si>
  <si>
    <t>Subtotal DOTACIÓN DE LEY + INDUSTRIAL</t>
  </si>
  <si>
    <t xml:space="preserve">PAPELERÍA, ÚTILES DE ESCRITORIO </t>
  </si>
  <si>
    <t>BANDERITAS ADHESIVAS EN COLORES (DISPLAY)</t>
  </si>
  <si>
    <t>CLIP BLINDER CAJA X12 unid. 1 "</t>
  </si>
  <si>
    <t>CLIP BLINDER CAJA X12 unid. 1 1/2"</t>
  </si>
  <si>
    <t>CLIP BLINDER CAJA X12 unid. 2"</t>
  </si>
  <si>
    <t>CLIP BLINDER CAJA X12 unid. 3/4"</t>
  </si>
  <si>
    <t>ESFEROS DE TINTA NEGRA</t>
  </si>
  <si>
    <t>MARCADORES BORRABLES COLORES SURTIDOS</t>
  </si>
  <si>
    <t>PAPEL (BOND) FOTOCOPIA 75 GRS. TAMAÑO OFICIO POR RESMA</t>
  </si>
  <si>
    <t>PAPEL KRAFT X ROLLO DE 100M</t>
  </si>
  <si>
    <t>POST-IT GRANDES</t>
  </si>
  <si>
    <t>POST-IT MEDIANOS</t>
  </si>
  <si>
    <t>SEPARADOR PLÁSTICO TAMAÑO OFICIO</t>
  </si>
  <si>
    <t>OTROS PAPELERÍA, ÚTILES DE ESCRITORIO Y OFICINA</t>
  </si>
  <si>
    <t>Subtotal PAPELERÍA Y ÚTILES DE ESCRITORIO</t>
  </si>
  <si>
    <t>BOMBILLOS AHORRADORES DE 20W LUZ DIA</t>
  </si>
  <si>
    <t>CAJA DE LUZ PLASTICA 5800</t>
  </si>
  <si>
    <t>CINTA AISLANTE NEGRA</t>
  </si>
  <si>
    <t>DESTORNILLADOR TESTER</t>
  </si>
  <si>
    <t>ESTABILIZADORES DE 1500W</t>
  </si>
  <si>
    <t>GRASA  INDUSTRIAL POR 500 GMS</t>
  </si>
  <si>
    <t>JUEGO DE BROCAS DE TUSTENO</t>
  </si>
  <si>
    <t>LINTERNA RECARGABLE LUZ LED</t>
  </si>
  <si>
    <t>PELA CABLE- PROSKIT CP 108</t>
  </si>
  <si>
    <t>ROCETAS DE PORCELANA</t>
  </si>
  <si>
    <t>SOLDADURA TUBERÍA DE PVC</t>
  </si>
  <si>
    <t>TOMAS LEVITON</t>
  </si>
  <si>
    <t>OTROS REPUESTOS</t>
  </si>
  <si>
    <t>Subtotal REPUESTOS</t>
  </si>
  <si>
    <t>OTROS MATERIALES Y SUMINISTROS</t>
  </si>
  <si>
    <t>QUÍMICOS</t>
  </si>
  <si>
    <t>ÁCIDO FÍTICO SOLUCIÓN AL 50% EN AGUA FRASCO DE 250 ML</t>
  </si>
  <si>
    <t>AGAR PDA X LIBRA</t>
  </si>
  <si>
    <t>ETANOL ABSOLUTO PARA ANÁLISIS X 2,5 LITROS</t>
  </si>
  <si>
    <t>BEAKER ó VASO DE PRECIPITADO 250 ML</t>
  </si>
  <si>
    <t>BEAKER ó VASO DE PRECIPITADO 500 ML</t>
  </si>
  <si>
    <t>CUCHILLAS PARA BISTURÍ No. 12 (MANGO DE BISTURI NO.3) CAJA X100 unid.</t>
  </si>
  <si>
    <t>ERLENMEYER 2000 ML</t>
  </si>
  <si>
    <t>PROBETA PLASTICA (100 ML)</t>
  </si>
  <si>
    <t>PROBETA PLASTICA (1000 ML)</t>
  </si>
  <si>
    <t>TUBO DE ENSAYO DE 16 X 150 ML Y TAPA ROSCA</t>
  </si>
  <si>
    <t>Subtotal MATERIALES DE LABORATORIO</t>
  </si>
  <si>
    <t>MATERIAL DE ARCHIVO</t>
  </si>
  <si>
    <t>CAJAS PARA ARCHIVO REF X100</t>
  </si>
  <si>
    <t>CARTULINA DESACIDIFICADA DE 720 GR/M2 X PLIEGO de 85x1.30 color gris perla.</t>
  </si>
  <si>
    <t>Subtotal MATERIAL DE ARCHIVO</t>
  </si>
  <si>
    <t>INSUMOS MICROFILMACION Y DIGITALIZACION</t>
  </si>
  <si>
    <t>Subtotal INSUMOS MICROFILMACION Y DIGITALIZACION</t>
  </si>
  <si>
    <t>CINTA DE FAYA SEMISINTÉTICA: POLIESTER</t>
  </si>
  <si>
    <t>MANTENIMIENTO</t>
  </si>
  <si>
    <t>Subtotal MANTENIMIENTO DE BIENES INMUEBLES</t>
  </si>
  <si>
    <t>MANTENIMIENTO DE BIENES MUEBLES, EQUIPOS Y ENSERES</t>
  </si>
  <si>
    <t>MANTENIMIENTO EQUIPOS DE MICROFILMACIÓN</t>
  </si>
  <si>
    <t>MANTENIMIENTO FOTOCOPIADORAS DEL AGN</t>
  </si>
  <si>
    <t>MANTENIMIENTO VEHÍCULOS DEL AGN</t>
  </si>
  <si>
    <r>
      <rPr>
        <b/>
        <sz val="9"/>
        <rFont val="Arial"/>
        <family val="2"/>
      </rPr>
      <t>EBI - SOPORTE SISTEMAS DE INFORMACIÓN Y APOYO ADMINISTRATIVO.</t>
    </r>
    <r>
      <rPr>
        <sz val="9"/>
        <rFont val="Arial"/>
        <family val="2"/>
      </rPr>
      <t xml:space="preserve"> MANTENIMIENTO PREVENTIVO Y CORRECTIVO DEL SISTEMA DE GESTIÓN DEL ARCHIVO HISTÓRICO DEL AGN: ARCHIDOC, ARCHIGES.</t>
    </r>
  </si>
  <si>
    <t>SERVICIO DE ASEO</t>
  </si>
  <si>
    <t>SERVICIO DE ASEO PARA EL AGN</t>
  </si>
  <si>
    <t>Subtotal SERVICIO DE ASEO</t>
  </si>
  <si>
    <t>SERVICIO DE VIGILANCIA PARA EL AGN</t>
  </si>
  <si>
    <t>Subtotal SERVICIO DE SEGURIDAD Y VIGILANCIA</t>
  </si>
  <si>
    <t>MANTENIMIENTO DE OTROS BIENES</t>
  </si>
  <si>
    <t>FUMIGACIÓN (DESINFECCIÓN CONTRA INSECTOS)</t>
  </si>
  <si>
    <t>MANTENIMIENTO DE OTROS BIENES Y CAJA MENOR</t>
  </si>
  <si>
    <t>Subtotal MANTENIMIENTO DE OTROS BIENES</t>
  </si>
  <si>
    <t>Subtotal MANTENIMIENTO</t>
  </si>
  <si>
    <t>COMUNICACIONES Y TRANSPORTES</t>
  </si>
  <si>
    <t>CORREO</t>
  </si>
  <si>
    <t>OTROS COMUNICACIONES Y TRANSPORTES Y CAJA MENOR</t>
  </si>
  <si>
    <t>Subtotal COMUNICACIONES Y TRANSPORTES</t>
  </si>
  <si>
    <t>IMPRESOS Y PUBLICACIONES</t>
  </si>
  <si>
    <t>SUSCRIPCIONES (DIRECTORIO TELEFÓNICO Y OTROS)</t>
  </si>
  <si>
    <t>OTROS GASTOS POR IMPRESOS Y PUBLICACIONES Y CAJA MENOR.</t>
  </si>
  <si>
    <t>Subtotal IMPRESOS Y PUBLICACIONES</t>
  </si>
  <si>
    <t>SERVICIOS PUBLICOS</t>
  </si>
  <si>
    <t>Subtotal ACUEDUCTO, ALCANTARILLADO Y ASEO</t>
  </si>
  <si>
    <t>ENERGIA</t>
  </si>
  <si>
    <t>Subtotal ENERGIA</t>
  </si>
  <si>
    <t>TELEFONÍA</t>
  </si>
  <si>
    <t>TELEFONIA MOVIL CELULAR</t>
  </si>
  <si>
    <t>TELÉFONO, FAX Y OTROS</t>
  </si>
  <si>
    <t>Subtotal TELEFONÍA</t>
  </si>
  <si>
    <t>Subtotal SERVICIOS PUBLICOS</t>
  </si>
  <si>
    <t>SEGUROS</t>
  </si>
  <si>
    <t>OTROS SEGUROS</t>
  </si>
  <si>
    <t>Subtotal SEGUROS</t>
  </si>
  <si>
    <t>ARRENDAMIENTOS</t>
  </si>
  <si>
    <t>Subtotal ARRENDAMIENTOS</t>
  </si>
  <si>
    <t>VIATICOS Y GASTOS DE VIAJE</t>
  </si>
  <si>
    <t>Subtotal VIATICOS Y GASTOS DE VIAJE</t>
  </si>
  <si>
    <t>CAPACITACIÓN, BIENESTAR SOCIAL Y ESTÍMULOS</t>
  </si>
  <si>
    <t>SERVICIOS DE BIENESTAR SOCIAL</t>
  </si>
  <si>
    <t>SERVICIOS PARA ESTIMULOS</t>
  </si>
  <si>
    <t>Subtotal CAPACITACIÓN Y BIENESTAR SOCIAL</t>
  </si>
  <si>
    <t>OTROS GASTOS POR ADQUISICIÓN DE SERVICIOS.</t>
  </si>
  <si>
    <t>Subtotal OTROS GASTOS POR ADQUISICIÓN DE SERVICIOS</t>
  </si>
  <si>
    <t>TOTAL ADQUISICION DE BIENES Y SERVICIOS</t>
  </si>
  <si>
    <t>TOTAL GASTOS GENERALES</t>
  </si>
  <si>
    <t>TRANSFERENCIAS CORRIENTES</t>
  </si>
  <si>
    <t>CUOTA DE AUDITAJE CONTRANAL</t>
  </si>
  <si>
    <t>ADAI</t>
  </si>
  <si>
    <t>CONSEJO INTERNACIONAL DE ARCHIVOS - CIA</t>
  </si>
  <si>
    <t>SENTENCIAS Y CONCILIACIONES</t>
  </si>
  <si>
    <t>OTRAS TRANSFERENCIAS</t>
  </si>
  <si>
    <t>SUBTOTAL SERVICIOS PERSONALES ASOCIADOS A NOMINA</t>
  </si>
  <si>
    <t>SUBTOTAL SERVICIOS PERSONALES INDIRECTOS</t>
  </si>
  <si>
    <t>SEGURO DE INFIDELIDAD Y RIESGOS FINANCIEROS</t>
  </si>
  <si>
    <t>SEGURO DE RESPONSABILIDAD CIVIL</t>
  </si>
  <si>
    <t>SEGUROS GENERALES</t>
  </si>
  <si>
    <t xml:space="preserve">SERVICIOS DE CAPACITACIÓN </t>
  </si>
  <si>
    <t>Subtotal COMPRA DE EQUIPO</t>
  </si>
  <si>
    <t xml:space="preserve">CORRECTOR LIQUIDO </t>
  </si>
  <si>
    <t>TINTA PARA SELLO COLOR NEGRO</t>
  </si>
  <si>
    <t>POST-IT PEQUEÑOS</t>
  </si>
  <si>
    <t>BANDAS DE CAUCHO  CAJA X 100</t>
  </si>
  <si>
    <t xml:space="preserve">BORRADOR DE ESCOBILLA X UNIDAD </t>
  </si>
  <si>
    <t>DVD-R</t>
  </si>
  <si>
    <t>REGLA DE 50 CMS</t>
  </si>
  <si>
    <t>PILAS AAA RECARGABLES (BLISTER *2)</t>
  </si>
  <si>
    <t>BISTURI PLASTICO GRANDE</t>
  </si>
  <si>
    <t>PARAGUAS</t>
  </si>
  <si>
    <t>MASCARILLA ANTIPOLVO N95  CAJA POR 20</t>
  </si>
  <si>
    <t>BAYETILLA BLANCA X ROLLO</t>
  </si>
  <si>
    <t>DISCOS DUROS EXTERNOS</t>
  </si>
  <si>
    <t>COMPUTADORES  DE ESCRITORIO</t>
  </si>
  <si>
    <t>BEAKER ó VASO DE PRECIPITADO 100 ML</t>
  </si>
  <si>
    <t>CAJA DE PETRI 600 ML</t>
  </si>
  <si>
    <t>BOTAS DE SEGURIDAD</t>
  </si>
  <si>
    <t>BATA TIPO MEDICO AZUL</t>
  </si>
  <si>
    <t>VESTIDO ESPECIAL CAFETERIA DAMA</t>
  </si>
  <si>
    <t>VESTIDO ESPECIAL CAFETERIA CABALLERO</t>
  </si>
  <si>
    <t>PPDC</t>
  </si>
  <si>
    <t>ISNA</t>
  </si>
  <si>
    <t>EBI - MICROFILMAR Y DIGITALIZAR EL PATRIMONIO DOCUMENTAL QUE CUSTODIA EL AGN PARA SU PRESERVACIÓN Y DIFUSIÓN</t>
  </si>
  <si>
    <t>EBI - REALIZAR PROCESOS DE INVESTIGACIÓN PREVENCIÓN, DIAGNOSTICO Y RECUPERACIÓN DE LA DOCUMENTACIÓN, PERTENECIENTE AL AGN Y DEMÁS ACTORES DEL SNA</t>
  </si>
  <si>
    <t>EBI - DIVULGAR Y DIFUNDIR A LOS COLOMBIANOS, Y/O PARTES INTERESADAS, POR DIVERSOS MEDIOS EL PATRIMONIO DOCUMENTAL ARCHIVÍSTICO DEL AGN Y DEMÁS ACTORES DEL SNA</t>
  </si>
  <si>
    <t>SINAE</t>
  </si>
  <si>
    <t>EBI - REMODELACION DE INMUEBLE</t>
  </si>
  <si>
    <t>REM. INM ALED</t>
  </si>
  <si>
    <t>MTO ADEC AGN</t>
  </si>
  <si>
    <t>REN TEC</t>
  </si>
  <si>
    <t>MEJ EFPL</t>
  </si>
  <si>
    <t>EBI - GENERACIÓN DE UN MODELO DE LINEAMIENTOS PARA EL SISTEMA  DE GESTIÓN DOCUMENTAL</t>
  </si>
  <si>
    <t>EBI - FORTALECER LA MODERNIZACIÓN Y EFICIENCIA DEL ESTADO A TRAVES DE LA REVISION Y EVALUACION DE LAS TRD Y TVD DE LOS ACTORES DEL SNA</t>
  </si>
  <si>
    <t>EBI - FOMENTAR EL DESARROLLO DE PROYECTOS ARCHIVÍSTICOS Y  DESARROLLO DE PROYECTOS VENTA DE SERVICIOS</t>
  </si>
  <si>
    <t>EBI - ARTICULAR LAS INSTANCIAS E INSTITUCIONES DEL SNA (CAPACITACIÓN ARCHIVÍSTICA, COMITÉS, CONSEJO Y EVENTOS)</t>
  </si>
  <si>
    <t>EBI - SEGUIMIENTO A LA IMPLEMENTACIÓN DE LA POLÍTICA EN LOS ACTORES DEL SNA</t>
  </si>
  <si>
    <t xml:space="preserve">EBI - ACOMPAÑAMIENTO A LOS GRUPOS ÉTNICOS,  EN EL REGISTRO, LA CONFORMACIÓN Y LA PROTECCIÓN DE SUS ARCHIVOS </t>
  </si>
  <si>
    <t>EBI - DISEÑAR E  IMPLEMENTAR LA POLÍTICA PUBLICA RELACIONADA CON LA GESTIÓN Y ADMINISTRACIÓN DE LOS ARCHIVOS DE DERECHOS HUMANOS Y MEMORIA HISTÓRICA</t>
  </si>
  <si>
    <t xml:space="preserve">EBI - MANTENIMIENTO INSTALACIONES LOCATIVAS </t>
  </si>
  <si>
    <t>EBI - SOPORTE SISTEMAS DE INFORMACIÓN Y APOYO ADMINISTRATIVO</t>
  </si>
  <si>
    <t>SERVICIO DE DUPLICACIÓN DE MICROFILMES</t>
  </si>
  <si>
    <t>BORRADORES DE NATA X 24 UNIDADES</t>
  </si>
  <si>
    <t>CARTON KRAFT F5, LÁMINA DE 1.40M, X 101M, DE 3mm DE ESPESOR</t>
  </si>
  <si>
    <t>NEVECON</t>
  </si>
  <si>
    <t xml:space="preserve">METIL CELULOSA DE ALTA DENSIDAD, DE ALTA PUREZA, CON VISCOSIDAD DEL 2% Y 4000 CENTIPOISES X KILO </t>
  </si>
  <si>
    <t xml:space="preserve"> CARBOXIMETIL CELULOSA DE BAJA VISCOSIDAD X KILO </t>
  </si>
  <si>
    <t xml:space="preserve"> BROCHA DE CERDAS SINTÉTICAS DELGADAS DE 3" </t>
  </si>
  <si>
    <t>ERLENMEYER 1000 ML</t>
  </si>
  <si>
    <t xml:space="preserve"> BACOXYN GARRAFA X 20 KILOS </t>
  </si>
  <si>
    <t xml:space="preserve"> JABÓN GENAPOL X LITRO</t>
  </si>
  <si>
    <t>OVEROL DESECHABLE</t>
  </si>
  <si>
    <t>ARRENDAMIENTO STAND INSTITUCIONAL FERIA DEL LIBRO</t>
  </si>
  <si>
    <t>REPUESTOS-HERRAMIENTAS</t>
  </si>
  <si>
    <t xml:space="preserve">BOMBILLO DICROICO DE 120V, 50W </t>
  </si>
  <si>
    <t>BOMBILLO AHORRADOR DE 11 V</t>
  </si>
  <si>
    <t>BOMBILLO AHORRADOR DE 42 W</t>
  </si>
  <si>
    <t>CABLE DUPLEX 2X12  METRO  ( ROLLO X 100 MTS )</t>
  </si>
  <si>
    <t>CABLE DUPLEX 2X10 METRO  ( ROLLO X 100 MTS )</t>
  </si>
  <si>
    <t>CLAVIJA HEMBRA CON POLO A TIERRA</t>
  </si>
  <si>
    <t>CLAVIJA MACHO CON POLO A TIERRA</t>
  </si>
  <si>
    <t>CHAPA PARA ESCRITORIO (SEGÚN MUESTRA)</t>
  </si>
  <si>
    <t>CHAPA O CERRADURAS PARA PUERTA )SEGÚN MUESTRA)</t>
  </si>
  <si>
    <t>CORTAFRIO ELECTRICO</t>
  </si>
  <si>
    <t>CARGADOR DE PILAS AA Y AAA</t>
  </si>
  <si>
    <t>ESTARTERD DE 20 W (CAJA X 20 UNID)</t>
  </si>
  <si>
    <t>JUEGO BROCAS VARIAS</t>
  </si>
  <si>
    <t>JUEGOS DESTORNILLADORES PROFESIONALES</t>
  </si>
  <si>
    <t>LLAVE BRISTOL X JUEGO</t>
  </si>
  <si>
    <t>GRAFITO PARA CERRADURAS</t>
  </si>
  <si>
    <t xml:space="preserve">MULTITOMA </t>
  </si>
  <si>
    <t>PILAS ALCALINAS AA  (BLISTER *2)</t>
  </si>
  <si>
    <t>PLÁSTICO TRANSPARENTE CALIBRE 6 DE 1.50 X 100 MTS.</t>
  </si>
  <si>
    <t>SOCKET PARA TUBO T 8 (POR PARES)</t>
  </si>
  <si>
    <t>SWICHT DE CODILLO DE  20 AMP</t>
  </si>
  <si>
    <t>SILICONA GRUESA EN BARRA X KILO</t>
  </si>
  <si>
    <t>SILICONA FRIA EN TUBO</t>
  </si>
  <si>
    <t>TACO DE LUZ 30 AMP DE CARRIEL (SEGÚN MUESTRA)</t>
  </si>
  <si>
    <t>RODILLO DE FELPA</t>
  </si>
  <si>
    <t xml:space="preserve"> PASAJES AÉREOS  (TRD)</t>
  </si>
  <si>
    <t>SUMINISTRO DE PASAJES AÉREOS PARA ASISTENCIA TÉCNICA Y GESTIÓN DE PROYECTOS ARCHIVÍSTICOS, POR LA LÍNEA DE VENTA DE SERVICIOS. (VENTA DE SERVICIOS)</t>
  </si>
  <si>
    <t>VIATICOS Y GASTOS DE VIAJE  (VENTA DE SERVICIOS)</t>
  </si>
  <si>
    <t xml:space="preserve"> VIATICOS Y GASTOS DE VIAJE CAPACITACION DEL  SNA</t>
  </si>
  <si>
    <t xml:space="preserve"> VIATICOS Y GASTOS DE VIAJE (INSPECCION Y VIGILANCIA)</t>
  </si>
  <si>
    <t xml:space="preserve"> TIQUETES AEREOS (ARCHIVOS ETNICOS)</t>
  </si>
  <si>
    <t xml:space="preserve"> VIATICOS Y GASTOS DE VIAJE (VICTIMAS)</t>
  </si>
  <si>
    <t xml:space="preserve"> TIQUETES AEREOS (VICTIMAS)</t>
  </si>
  <si>
    <t>VIATICOS Y GASTOS DE VIAJE (TRD)</t>
  </si>
  <si>
    <t>PURIFICADOR DE AIRE</t>
  </si>
  <si>
    <t>RESPIRADOR MEDIA CARA CONTRA GASES Y VAPORES CONFORT</t>
  </si>
  <si>
    <t xml:space="preserve">TAPABOCAS N95 CON VÁLVULA DE EXHALACIÓN, CAJA X 20 UNIDADES </t>
  </si>
  <si>
    <t>CANECAS ROJAS</t>
  </si>
  <si>
    <t>COSEDORA PARA ESCRITORIO</t>
  </si>
  <si>
    <t>MARCADORES PERMANENTES  COLORES SURTIDOS</t>
  </si>
  <si>
    <t>MEMORIAS USB 4 GB</t>
  </si>
  <si>
    <t>LIBRETAS DE ANOTACIONES TAMAÑO CARTA</t>
  </si>
  <si>
    <t>REGLA DE 30 CMS</t>
  </si>
  <si>
    <t>ROTULOS PARA CARPETAS 107 X 69 X 3200 UND CAJA</t>
  </si>
  <si>
    <t>ROTULOS PARA CAJA X 800 UND</t>
  </si>
  <si>
    <t>SACAGANCHOS POR UNIDAD</t>
  </si>
  <si>
    <t>TAJALAPIZ ESCOLAR POR UNIDAD</t>
  </si>
  <si>
    <t>TIJERAS PUNTA ROMA</t>
  </si>
  <si>
    <t>TIJERAS METÁLICAS</t>
  </si>
  <si>
    <t>PAPEL (BOND) FOTOCOPIA 75 GRS. TAMAÑO CARTA POR RESMA</t>
  </si>
  <si>
    <t>TABLAS PLANILLERAS OFICIO</t>
  </si>
  <si>
    <t>PAPEL ABSORBENTE</t>
  </si>
  <si>
    <t>ACETONA POR GALON</t>
  </si>
  <si>
    <t>ASPIRADORA CON FILTRO DE AGUA Y ACCESORIOS</t>
  </si>
  <si>
    <t>BOLSAS ROJAS (DESECHOS BIOLOGICOS)</t>
  </si>
  <si>
    <t>CALDO LETHEEN (AMBIENTE Y DOCUMENTACIÓN) FRASCO 500 GRMS</t>
  </si>
  <si>
    <t>ATOMIZADOR PLÁSTICO TAPA ROSCA 250 ML CON BOQUILLA GRADUABLE</t>
  </si>
  <si>
    <t>LIBRETAS DE ANOTACIONES TAMAÑO MEDIA CARTA</t>
  </si>
  <si>
    <t>ESCALERAS INDUSTRIALES TIPO AVION</t>
  </si>
  <si>
    <t>GLUCOMETRO</t>
  </si>
  <si>
    <t>ESPATULA METALICA</t>
  </si>
  <si>
    <t>SERVICIOS DE TRANSMISIÓN DE INFORMACIÓN. HOSTING VIRTUALIZADO PAGINA WEB   Y  HOSTING VIRTUALIZADO PARA MICROSITIOS WEB X 12 MESES</t>
  </si>
  <si>
    <t>BORRADOR MIGA DE PAN</t>
  </si>
  <si>
    <t xml:space="preserve"> TUBO EPPENDORF 1,5 ML  PAQUETE X 1000 </t>
  </si>
  <si>
    <t>PIPETEADOR DE CAUCHO UNIVERSAL EN FORMA DE PERA</t>
  </si>
  <si>
    <t>FRASCO PARA ALMACENAR DE 5 LTS CON  LLAVE DE INTERCAMBIO DE 3/4</t>
  </si>
  <si>
    <t>PLACAS PETRIFILM PARA HONGOS Y LEVADURA PAQ. X 50 UNID</t>
  </si>
  <si>
    <t>NEVERA ICOPOR PEQUEÑA</t>
  </si>
  <si>
    <t>FRIO GEL PAQUETE</t>
  </si>
  <si>
    <t>JERINGAS DE 1 ML CAJA POR 100 UNID</t>
  </si>
  <si>
    <t xml:space="preserve">REFRIGERIOS PARA CAPACITACIÓN </t>
  </si>
  <si>
    <t xml:space="preserve">ALOJAMIENTO Y ALIMENTACIÓN PARA CONFERENCISTAS EN BOGOTÁ, REUNIÓN DE CTA,  SEMINARIO SNA. </t>
  </si>
  <si>
    <t>TELEVISORES</t>
  </si>
  <si>
    <t>MUEBLES PARA SOPORTAR LOS EQUIPOS DE TV</t>
  </si>
  <si>
    <t>EQUIPOS DE COMPUTO PARA DISEÑO GRÁFICO</t>
  </si>
  <si>
    <t>TONER IMPRESORA HP LASERJET P 2035/2055</t>
  </si>
  <si>
    <t>TONER IMPRESORA XEROX PHASER 3122/3125</t>
  </si>
  <si>
    <t>IMPRESORA SAMSUNG SCX - 4521F</t>
  </si>
  <si>
    <t>TONER IMPRESORA XEROX PHASER 5500N</t>
  </si>
  <si>
    <t>TAMBOR IMPRESORA XEROX PHASER 5500N</t>
  </si>
  <si>
    <t>TONER IMPRESORA LASERJET 1536DNF MFP - CE538A</t>
  </si>
  <si>
    <t>TONER IMPRESORA RICOH AFICIO MP 201 SPF - 1170D</t>
  </si>
  <si>
    <t>TONER IMPRESORA RICOH AFICIO 3030 - 2120D</t>
  </si>
  <si>
    <t>TONER IMPRESORA MULTIFUNCIONAL RICOH AFICIO 7500 MP - 6110D</t>
  </si>
  <si>
    <t>TONER IMPRESORA MULTIFUNCIONAL RICOH AFICIO MP 5000B - MP4500</t>
  </si>
  <si>
    <t>TONER IMPRESORA HP LASERJET ENTERPRISE 600M 603XH</t>
  </si>
  <si>
    <t>ACUEDUCTO, ALCANTARILLADO Y ASEO</t>
  </si>
  <si>
    <t>ADHESIVO SINTÉTICO X GALON</t>
  </si>
  <si>
    <t xml:space="preserve"> EXTRACTO DE NIM X GALON </t>
  </si>
  <si>
    <t>BASE PARA CAUTÍN (CAUTINES CON REGULADOR DE TEMPERATURA ELÉCTRICO PARA SOLDAR PARA ESTAÑO)</t>
  </si>
  <si>
    <t>CUADRO RESUMEN</t>
  </si>
  <si>
    <t>TIPO DE GASTO</t>
  </si>
  <si>
    <t>TRANSF. CORRIENTES</t>
  </si>
  <si>
    <t>TOTAL</t>
  </si>
  <si>
    <t>VALOR</t>
  </si>
  <si>
    <t>INVERSIÓN</t>
  </si>
  <si>
    <t>TIPO DE GASTO POR PROYECTO</t>
  </si>
  <si>
    <r>
      <t xml:space="preserve">Total </t>
    </r>
    <r>
      <rPr>
        <b/>
        <sz val="9"/>
        <color indexed="8"/>
        <rFont val="Arial"/>
        <family val="2"/>
      </rPr>
      <t>Gastos de Personal Funcionamiento e Inversión</t>
    </r>
  </si>
  <si>
    <t>PRESERVACIÓN DEL PATRIMONIO DOCUMENTAL COLOMBIANO</t>
  </si>
  <si>
    <r>
      <t xml:space="preserve">Total </t>
    </r>
    <r>
      <rPr>
        <b/>
        <sz val="9"/>
        <color indexed="8"/>
        <rFont val="Arial"/>
        <family val="2"/>
      </rPr>
      <t>Gastos Generales Funcionamiento e Inversión</t>
    </r>
  </si>
  <si>
    <t>IMPLANTACIÓN SISTEMA NACIONAL DE ARCHIVOS</t>
  </si>
  <si>
    <t>Total Transferencias Corrientes</t>
  </si>
  <si>
    <t>RENOVACION  E IMPLEMENTACION  DE TECNOLOGIAS DE  LA INFORMACION EN EL ARCHIVO GENERAL DE LA NACION</t>
  </si>
  <si>
    <t>APLICACIÓN SISTEMA INTEGRAL NACIONAL DE ARCHIVOS ELECTRÓNICOS NACIONAL</t>
  </si>
  <si>
    <t xml:space="preserve">REMODELACIÓN Y ADQUISICIÓN DEL INMUEBLE ALEDAÑO AL EDIFICIO </t>
  </si>
  <si>
    <t xml:space="preserve">MANTENIMIENTO Y ADECUACIÓN DE LAS INSTALACIONES DEL AGN </t>
  </si>
  <si>
    <t>MEJORAMIENTO, DOTACIÓN Y ADECUACIÓN DEL INMUEBLE PARA LA CREACIÓN DEL ARCHIVO INTERMEDIO DE LAS ENTIDADES FINANCIERAS PÚBLICAS LIQUIDADAS</t>
  </si>
  <si>
    <t>TOTAL INVERSIÓN</t>
  </si>
  <si>
    <t>TOTAL FUNCIONAMIENTO + INVERSIÓN</t>
  </si>
  <si>
    <t>PASAJES AÉREOS NACIONALES E INTERNACIONALES  PARA  ACTIVIDADES DE CAPACITACION DEL  SNA (INSPECCION Y VIGILANCIA)</t>
  </si>
  <si>
    <t>RECURSOS CORRIENTES</t>
  </si>
  <si>
    <t>ATOMIZADOR PLÁSTICO TAPA ROSCA 600 ML CON BOQUILLA GRADUABLE</t>
  </si>
  <si>
    <t>MANTENIMIENTO SCÁNER DEL AGN</t>
  </si>
  <si>
    <t xml:space="preserve"> TUBO EPPENDORF 3,0 ML  PAQUETE X 1000 </t>
  </si>
  <si>
    <t>VEHICULO</t>
  </si>
  <si>
    <t>CAMIONETA</t>
  </si>
  <si>
    <t>Subtotal EQUIPOS Y MÁQUINAS DE OFICINA</t>
  </si>
  <si>
    <t>TOTAL PRESUPUESTO 2013</t>
  </si>
  <si>
    <t>GUANTES DE CARNAZA</t>
  </si>
  <si>
    <t>Subtotal MANTENIMIENTO DE BIENES MUEBLES</t>
  </si>
  <si>
    <r>
      <rPr>
        <b/>
        <sz val="9"/>
        <rFont val="Arial"/>
        <family val="2"/>
      </rPr>
      <t>EBI - SOPORTE SISTEMAS DE INFORMACIÓN Y APOYO ADMINISTRATIVO.</t>
    </r>
    <r>
      <rPr>
        <sz val="9"/>
        <rFont val="Arial"/>
        <family val="2"/>
      </rPr>
      <t xml:space="preserve"> DISEÑO E IMPLEMENTACIÓN DE LA FASE II DEL SISTEMA DE GESTIÓN DE DOCUMENTOS ELECTRÓNICOS DE ARCHIVO – SGDEA / ADAPTACIÓN PROCEDIMIENTOS ELECTRÓNICOS</t>
    </r>
  </si>
  <si>
    <t>CARACTERIZACION DE VERTIMENTOS PARA LAS DOS SEDES DE LA ENTIDAD</t>
  </si>
  <si>
    <t xml:space="preserve"> VIATICOS Y GASTOS DE VIAJE (ARCHIVOS ETNICOS)</t>
  </si>
  <si>
    <t>MANGOS DE BISTURÍ PARA CIRUGIA No. 3</t>
  </si>
  <si>
    <t>VALOR UNIT</t>
  </si>
  <si>
    <t>VALORIZACION DE TERRENOS</t>
  </si>
  <si>
    <t>PINZAS CURVAS DE PRECISIÓN DE JOYERÍA</t>
  </si>
  <si>
    <t>VASOS PLÁSTICOS (TINTOS)</t>
  </si>
  <si>
    <t xml:space="preserve">ADQUISICIÓN DE (20) LICENCIAS MICROSOFT OFFICE 2010 PROFESIONAL Y (20) LICENCIAS DE PROJECT PROFESIONAL 2010 + CAPACITACIÓN </t>
  </si>
  <si>
    <t>COMPRA DE SOFTWARE DE BASES DE DATOS</t>
  </si>
  <si>
    <t>COMPRA DE SOFTWARE DE CODIGO DE BARRAS</t>
  </si>
  <si>
    <t xml:space="preserve">ADQUISIÓN DE ESTANTERÍA PARA ALMACENAMIENTO </t>
  </si>
  <si>
    <t>OTROS MATERIALES Y SUMINISTROS Y CAJA MENOR</t>
  </si>
  <si>
    <t>CABLE PLANO PARA TELEFONO X 100 MTS</t>
  </si>
  <si>
    <t>ALAMBRE # 12 PROFESIONAL BLANCO ROLLO X 100 m</t>
  </si>
  <si>
    <t>ALAMBRE DESNUDO PROFESIONAL  EN COBRE # 16 X100</t>
  </si>
  <si>
    <t>CAJAS PARA CIRCUITO DE 15 AMP X 6</t>
  </si>
  <si>
    <t>CURVAS EN PCV ELECTRICAS 1/2"</t>
  </si>
  <si>
    <t xml:space="preserve">ABRAZADERAS PARA TUBO ELCTRICO </t>
  </si>
  <si>
    <t xml:space="preserve">LIJA PARA MADERA </t>
  </si>
  <si>
    <t>LIJA DE AGUA</t>
  </si>
  <si>
    <t>CINTA GRIS PARA DUCTOS</t>
  </si>
  <si>
    <t>TACOS DE 15 AMP</t>
  </si>
  <si>
    <t>Duplicador RJ11 Cable 15cm (1 x RJ11-M -&gt; 2 x RJ11-H)</t>
  </si>
  <si>
    <t>ADAPTADOR POLO A TIERRA A SENCILLO</t>
  </si>
  <si>
    <t>PILAS AAA  X PAR</t>
  </si>
  <si>
    <t>TONER IMPRESORA 4350DTN LASER JET Q5942A</t>
  </si>
  <si>
    <t>OTROS MANTENIMIENTO DE BIENES MUEBLES, EQUIPOS Y ENSERES</t>
  </si>
  <si>
    <t>MANTENIMIENTO EQUIPOS DE DIGITALIZACION</t>
  </si>
  <si>
    <t xml:space="preserve"> ALCOHOL ANTISÉPTICO, BOTELLA X 700 C.C. </t>
  </si>
  <si>
    <t xml:space="preserve">          CARLOS A. ZAPATA CÁRDENAS</t>
  </si>
  <si>
    <t>OTROS DOTACION DE LEY</t>
  </si>
  <si>
    <t xml:space="preserve">                         </t>
  </si>
  <si>
    <t>CASCO DE SEGURIDAD CON SISTEMA DE AJUSTE TIPO RATCHET (PARA TRABAJO EN ALTURAS)CON BARBUGUEJO</t>
  </si>
  <si>
    <t>GUANTE CON REVESTIMIENTO DE LÁTEX CORRUGADO (PARA TRABAJO EN ALTURAS)</t>
  </si>
  <si>
    <t>ADAPTADOR DE ANCLAJE PORTATIL DE UNA ARGOLLA</t>
  </si>
  <si>
    <t>ESLINGA DOBLE TERMINAL GRADUABLE (PARA TRABAJO EN ALTURAS)</t>
  </si>
  <si>
    <t>ARNÉS MULTIPROPÓSITO (DE CUERPO ENTERO CON ARGOLLA DORSAL EN "D").</t>
  </si>
  <si>
    <t>CAMILLA RÍGIDA DE PRIMEROS AUXILIOS</t>
  </si>
  <si>
    <t>INMOBILIZADOR CERVICAL MULTITALLA (CUELLO ORTOPEDICO)</t>
  </si>
  <si>
    <t>CARTUCHOS PARA RESPIRADORES CONTRA GASES Y VAPORES, DOBLE.</t>
  </si>
  <si>
    <t xml:space="preserve">ALGODÓN HIDROFILO EN RAMA, POR  500 GRAMOS </t>
  </si>
  <si>
    <t>BATA EN DRIL DE COLOR BLANCO</t>
  </si>
  <si>
    <t>GAFAS DE SEGURIDAD (MONOGAFA)</t>
  </si>
  <si>
    <t>GORRO POLIPROPILENO (PLEGADO), POR CAJAS DE 100 UNIDADES.</t>
  </si>
  <si>
    <t>APROPIACION</t>
  </si>
  <si>
    <t>HISOPOS HOSPITALARIOS DE MADERA X 1000</t>
  </si>
  <si>
    <t>TENSIOMETRO DIGITAL (INFLADO AUTOMÁTICO)</t>
  </si>
  <si>
    <t>PINCELES PLANOS DE CERDAS SUAVES X JUEGO DE 7 UNIDADES (DIFERENTES TAMAÑOS)</t>
  </si>
  <si>
    <t>PINCEL PELO DE MARTA DE 1/2"</t>
  </si>
  <si>
    <t>PINCEL PELO DE MARTA REDONDO DE 3/4"</t>
  </si>
  <si>
    <t>BORRADOR PARA PIZARRA</t>
  </si>
  <si>
    <t>CD - RW</t>
  </si>
  <si>
    <t>CINTA DE EMPAQUE TRASPARENTE</t>
  </si>
  <si>
    <t>PERFORADORA AJUSTABLE INDUSTRIAL DOS HUECOS.</t>
  </si>
  <si>
    <t>GANCHO TIPO CLIP PLÁSTIFICADO PEQUEÑO,CAJA POR 100 UND</t>
  </si>
  <si>
    <t>CINTA DOBLE FAZ   12 mm X 50MTS</t>
  </si>
  <si>
    <t>BALASTRO T12 2X48 CAJA DE 10 UNIDADES</t>
  </si>
  <si>
    <t>BALASTRO ELECTRONICO MULTIVOLTAJE T8 4X17 POR CAJA de 10 UNIDADES</t>
  </si>
  <si>
    <t>BALASTRO ELECTRÓNICO T8 2X32 CAJA X 10 UND</t>
  </si>
  <si>
    <t>BALASTRO T12 2X96 CAJA 10 UNID</t>
  </si>
  <si>
    <t>BOMBILLO DE 9W LUZ FRIA AHORRADOR</t>
  </si>
  <si>
    <t>BOMBILLO SODIO 150W</t>
  </si>
  <si>
    <t>CINTA DOBLE FAZ   18 mm X 50MTS</t>
  </si>
  <si>
    <t>LÁMPARAS PARA BALASTRO  T8 DE 32 W</t>
  </si>
  <si>
    <t>LLAVE DE ROSCA TIPO ALBERCA DE  1/2 PULGADAS</t>
  </si>
  <si>
    <t>SONDA ELECTRICA PARA DESTAPAR CAÑERIAS</t>
  </si>
  <si>
    <t>TRANSFORMADOR ELECTRICO DE 110V y 50W (CAJA X 10 UNIDADES)</t>
  </si>
  <si>
    <t>TUBO PVC DE MEDIA PULGADA  X 6 METROS</t>
  </si>
  <si>
    <t xml:space="preserve">TALADRO PERCUTOR DE 1/2 PULGADA INHALAMBRICO 18V </t>
  </si>
  <si>
    <t xml:space="preserve">CEPILLO METALICO </t>
  </si>
  <si>
    <t>TUBO T8 F17 W POR CAJA DE 25 UNIDADES</t>
  </si>
  <si>
    <t>TUBO T12  96"  / 75W X 2 POR CAJA DE 15 UNIDADES</t>
  </si>
  <si>
    <t>TUBOS PVC ELECTRICOS 1/2" POR 3 MTS</t>
  </si>
  <si>
    <t>BALASTRO T8  2X59W POR CAJA DE 10 UNIDADES</t>
  </si>
  <si>
    <t>HOMBRESOLO</t>
  </si>
  <si>
    <t>PONCHADORA PARA RJ 45 MODULAR</t>
  </si>
  <si>
    <t xml:space="preserve">CABLE ENCAUCHETADO 3X12 TRIFASICO ROLLO X 100 MTS. </t>
  </si>
  <si>
    <t xml:space="preserve">IMPUESTOS Y MULTAS </t>
  </si>
  <si>
    <t>SALDOS CON CORTE 31 DE AGOSTO 2013</t>
  </si>
  <si>
    <t>HERRAMIENTAS</t>
  </si>
  <si>
    <t>VEHICULOS</t>
  </si>
  <si>
    <t>MANTENIMIENTO DE EXTINTORES</t>
  </si>
  <si>
    <t>EBI - DISEÑO DE POLÍTICA SOBRE MANEJO DE ARCHIVOS AUDIOVISUALES, SONOROS, FOTOGRÁFICOS, ORALES Y OTROS ARCHIVOS ESPECIALES (Uidad  de Medida : Propuesta normativa y Guía)</t>
  </si>
  <si>
    <t>OTROS ADQUISICION DE TECNOLOGIA</t>
  </si>
  <si>
    <r>
      <t xml:space="preserve">OTROS MATERIALES Y SUMINISTROS </t>
    </r>
    <r>
      <rPr>
        <b/>
        <sz val="9"/>
        <rFont val="Arial"/>
        <family val="2"/>
      </rPr>
      <t>PPDC</t>
    </r>
  </si>
  <si>
    <r>
      <rPr>
        <b/>
        <sz val="9"/>
        <rFont val="Arial"/>
        <family val="2"/>
      </rPr>
      <t>EBI - SOPORTE SISTEMAS DE INFORMACIÓN Y APOYO ADMINISTRATIVO.</t>
    </r>
    <r>
      <rPr>
        <sz val="9"/>
        <rFont val="Arial"/>
        <family val="2"/>
      </rPr>
      <t xml:space="preserve"> MANTENIMIENTO Y AMPLIACIÓN DE LA RED DE DATOS DE LA ENTIDAD.</t>
    </r>
  </si>
  <si>
    <r>
      <rPr>
        <b/>
        <sz val="9"/>
        <rFont val="Arial"/>
        <family val="2"/>
      </rPr>
      <t>EBI - SOPORTE SISTEMAS DE INFORMACIÓN Y APOYO ADMINISTRATIVO.</t>
    </r>
    <r>
      <rPr>
        <sz val="9"/>
        <rFont val="Arial"/>
        <family val="2"/>
      </rPr>
      <t xml:space="preserve"> MANTENIMIENTO PREVENTIVO Y CORRECTIVO PARA IMPRESORAS DE LA ENTIDAD (OUTSOURCING)</t>
    </r>
  </si>
  <si>
    <r>
      <rPr>
        <b/>
        <sz val="9"/>
        <rFont val="Arial"/>
        <family val="2"/>
      </rPr>
      <t>EBI - SOPORTE SISTEMAS DE INFORMACIÓN Y APOYO ADMINISTRATIVO.</t>
    </r>
    <r>
      <rPr>
        <sz val="9"/>
        <rFont val="Arial"/>
        <family val="2"/>
      </rPr>
      <t xml:space="preserve"> AMPLIACIÓN DE CAPACIDAD DEL SISTEMA DE ALMACENAMIENTO DE RED</t>
    </r>
  </si>
  <si>
    <r>
      <rPr>
        <b/>
        <sz val="9"/>
        <rFont val="Arial"/>
        <family val="2"/>
      </rPr>
      <t>EBI - REMODELACIÓN PARCIAL DEL INMUEBLE.</t>
    </r>
    <r>
      <rPr>
        <sz val="9"/>
        <rFont val="Arial"/>
        <family val="2"/>
      </rPr>
      <t xml:space="preserve"> REMODELACION PARCIAL DEL INMUEBLE ALEDAÑO.</t>
    </r>
  </si>
  <si>
    <r>
      <rPr>
        <b/>
        <sz val="9"/>
        <rFont val="Arial"/>
        <family val="2"/>
      </rPr>
      <t>EBI - MANTENIMIENTO SISTEMA ELÉCTRICO.</t>
    </r>
    <r>
      <rPr>
        <sz val="9"/>
        <rFont val="Arial"/>
        <family val="2"/>
      </rPr>
      <t xml:space="preserve"> MANTENIMIENTO PREVENTIVO Y CORRECTIVO CON REPUESTOS DE LA SUBESTACIÓN ELÉCTRICA</t>
    </r>
  </si>
  <si>
    <r>
      <rPr>
        <b/>
        <sz val="9"/>
        <rFont val="Arial"/>
        <family val="2"/>
      </rPr>
      <t>EBI - MANTENIMIENTO SISTEMA ELÉCTRICO.</t>
    </r>
    <r>
      <rPr>
        <sz val="9"/>
        <rFont val="Arial"/>
        <family val="2"/>
      </rPr>
      <t xml:space="preserve"> MANTENIMIENTO PREVENTIVO Y CORRECTIVO DE LA PLANTA ELÉCTRICA.</t>
    </r>
  </si>
  <si>
    <r>
      <rPr>
        <b/>
        <sz val="9"/>
        <rFont val="Arial"/>
        <family val="2"/>
      </rPr>
      <t>EBI - MANTENIMIENTO SISTEMA MECÁNICO.</t>
    </r>
    <r>
      <rPr>
        <sz val="9"/>
        <rFont val="Arial"/>
        <family val="2"/>
      </rPr>
      <t xml:space="preserve"> MANTENIMIENTO PREVENTIVO Y CORRECTIVO SIN INCLUIR REPUESTOS PARA ASCENSORES, MONTALIBROS Y MONTACARGAS DE PROPIEDAD DEL AGN.</t>
    </r>
  </si>
  <si>
    <r>
      <rPr>
        <b/>
        <sz val="9"/>
        <rFont val="Arial"/>
        <family val="2"/>
      </rPr>
      <t>EBI - MANTENIMIENTO SISTEMA DE SEGURIDAD</t>
    </r>
    <r>
      <rPr>
        <sz val="9"/>
        <rFont val="Arial"/>
        <family val="2"/>
      </rPr>
      <t>. MANTENIMIENTO PREVENTIVO Y CORRECTIVO PARA EL SISTEMA ELECTRÓNICO DE SEGURIDAD (DETENCIÓN DE INCENDIOS CCTV).</t>
    </r>
  </si>
  <si>
    <r>
      <rPr>
        <b/>
        <sz val="9"/>
        <rFont val="Arial"/>
        <family val="2"/>
      </rPr>
      <t xml:space="preserve">EBI - MANTENIMIENTO SISTEMA DE VENTILACIÓN Y AIRE ACONDICIONADO. </t>
    </r>
    <r>
      <rPr>
        <sz val="9"/>
        <rFont val="Arial"/>
        <family val="2"/>
      </rPr>
      <t>MANTENIMIENTO PREVENTIVO Y CORRECTIVO SIN INCLUIR REPUESTOS AL SISTEMA DE VENTILACIÓN Y AIRE ACONDICIONADO  DEL AGN.</t>
    </r>
  </si>
  <si>
    <r>
      <rPr>
        <b/>
        <sz val="9"/>
        <rFont val="Arial"/>
        <family val="2"/>
      </rPr>
      <t>EBI - MANTENIMIENTO Y CALIBRACIÓN DE EQUIPOS DE GLR.</t>
    </r>
    <r>
      <rPr>
        <sz val="9"/>
        <rFont val="Arial"/>
        <family val="2"/>
      </rPr>
      <t xml:space="preserve"> MANTENIMIENTO Y CALIBRACIÓN DE EQUIPOS DE GLR.</t>
    </r>
  </si>
  <si>
    <r>
      <rPr>
        <b/>
        <sz val="9"/>
        <rFont val="Arial"/>
        <family val="2"/>
      </rPr>
      <t>EBI - ADECUACIÓN Y MANTENIMIENTO ANUAL DE LA BODEGA.</t>
    </r>
    <r>
      <rPr>
        <sz val="9"/>
        <rFont val="Arial"/>
        <family val="2"/>
      </rPr>
      <t xml:space="preserve"> MANTENIMIENTO PREVENTIVO Y CORRECTIVO CON REPUESTOS PARA LA UPS.</t>
    </r>
  </si>
  <si>
    <r>
      <rPr>
        <b/>
        <sz val="9"/>
        <rFont val="Arial"/>
        <family val="2"/>
      </rPr>
      <t>EBI - ADECUACIÓN Y MANTENIMIENTO ANUAL DE LA BODEGA.</t>
    </r>
    <r>
      <rPr>
        <sz val="9"/>
        <rFont val="Arial"/>
        <family val="2"/>
      </rPr>
      <t xml:space="preserve"> MANTENIMIENTO, ADECUACIÓN Y REPARACIONES LOCATIVAS</t>
    </r>
  </si>
  <si>
    <t>IMPRESORA LÁSER DE ALTO RENDIMIENTO</t>
  </si>
  <si>
    <t>MANTENIMIENTO DE BIENES INMUEBLES - MANTENIMIENTO FACHADAS CONTROL PALOMAS</t>
  </si>
  <si>
    <t xml:space="preserve">MICRODIFUSOR </t>
  </si>
  <si>
    <t>EBI - ADECUACIÓN Y MANTENIMIENTO ANUAL DE LA BODEGA INTERVENTORIA)</t>
  </si>
  <si>
    <r>
      <rPr>
        <b/>
        <sz val="9"/>
        <rFont val="Arial"/>
        <family val="2"/>
      </rPr>
      <t xml:space="preserve">EBI - ADECUACIÓN Y MANTENIMIENTO ANUAL DE LA BODEGA. </t>
    </r>
    <r>
      <rPr>
        <sz val="9"/>
        <rFont val="Arial"/>
        <family val="2"/>
      </rPr>
      <t>MANTENIMIENTO Y REPARACIONES LOCATIVAS</t>
    </r>
  </si>
  <si>
    <t>Proyectó: Ricardo Rodríguez García</t>
  </si>
  <si>
    <t>BONO VESTIDO PAÑO, CAMISA Y CORBATA PARA CABALLERO</t>
  </si>
  <si>
    <t>BONO VESTIDO SASTRE PARA DAMA, BLUSA</t>
  </si>
  <si>
    <t xml:space="preserve"> </t>
  </si>
  <si>
    <t>LIENZO 40 X 100 MTS</t>
  </si>
  <si>
    <t>TEJIDO DE FILTRACIÓN - FILTROCEM X 50 M</t>
  </si>
  <si>
    <t>TEJIDO INTERLON X 100 MTS</t>
  </si>
  <si>
    <t>TONNER IMPRESORA LASERJET 1020 REF Q2612A</t>
  </si>
  <si>
    <t>IMPRENTA NACIONAL</t>
  </si>
  <si>
    <t>FUNDA PARA CD</t>
  </si>
  <si>
    <t>AFICHES X 2 - IMFOGRAFÍAS</t>
  </si>
  <si>
    <t>CANTIDAD</t>
  </si>
  <si>
    <t>VR TOTAL</t>
  </si>
  <si>
    <t>VR UNITARIO</t>
  </si>
  <si>
    <t>FACTURA</t>
  </si>
  <si>
    <t>CALENDARIO BOLSILLO</t>
  </si>
  <si>
    <t>ALMANAQUE ESCRITORIO</t>
  </si>
  <si>
    <t>CAMARA DIGITAL PARA MICROSCOPIO (ACCESORIOS PARA LECTURA DE SOFTWARE</t>
  </si>
  <si>
    <t>TRANSCRIPCIÓN CALIGRÁFICA DE LA CONSTITUCIÓN POLÍTICA DE COLOMBIA DE 1991</t>
  </si>
  <si>
    <t>BOCETOS Y DIBUJOS DEL VITRALISTA WALTER WOLF (300)</t>
  </si>
  <si>
    <t>PENDON CON SISTEMA ROLL UP</t>
  </si>
  <si>
    <t>PLATAFORMA TIPO TIJERA PARA TRABAJO EN ALTURAS</t>
  </si>
  <si>
    <t>ACEITE LUBRICANTE x 250 ML</t>
  </si>
  <si>
    <t>ESFERO ECOLÓGICO</t>
  </si>
  <si>
    <t>TONER HP NERGRO LASER JET M603XH</t>
  </si>
  <si>
    <r>
      <rPr>
        <b/>
        <sz val="9"/>
        <rFont val="Arial"/>
        <family val="2"/>
      </rPr>
      <t>EBI - MANTENIMIENTO SISTEMA HIDRAULICO</t>
    </r>
    <r>
      <rPr>
        <sz val="9"/>
        <rFont val="Arial"/>
        <family val="2"/>
      </rPr>
      <t>. MANTENIMIENTO DEL SISTEMA HIDRAULICO (3 tanques)</t>
    </r>
  </si>
  <si>
    <t xml:space="preserve">PENDON  </t>
  </si>
  <si>
    <t>CONTROLADORA HP</t>
  </si>
  <si>
    <t>SWITCHE CISCO</t>
  </si>
  <si>
    <t>ACCESS POINT HP</t>
  </si>
  <si>
    <t>IMPRESORA MULTIFUNCIONAL</t>
  </si>
  <si>
    <t>COMPUTADOR PORTATIL</t>
  </si>
  <si>
    <t>CINTA Y MOSQUETON</t>
  </si>
  <si>
    <t>PIN METÁLICO</t>
  </si>
  <si>
    <t>PENDON PASACALLE</t>
  </si>
  <si>
    <t xml:space="preserve">DESINFECTANTE TEGO 5L </t>
  </si>
  <si>
    <t>CARTULINA DESACIDIFICADA DE 320 GR/M2 X PLIEGO de 85x1.30 color gris perla.</t>
  </si>
  <si>
    <t xml:space="preserve">BOBINA X 1000M DE CARTULINA PROPALCOTE DE 320GR </t>
  </si>
  <si>
    <t>UNIDAD DE EXPANSIÓN CON 1 ENCLOSURE</t>
  </si>
  <si>
    <t>CEPILLO PLUMERO</t>
  </si>
  <si>
    <t>CARRO TRANSPORTADOR</t>
  </si>
  <si>
    <t>GRECA ELECTRICA 120 TINTOS</t>
  </si>
  <si>
    <t xml:space="preserve">HORNOS MICROONDAS INDUSTRIALES  </t>
  </si>
  <si>
    <t>CERTIFICADOS DIGITALES FUNCIÓN PÚBLICA TOKEN SIIF NACIÓN II</t>
  </si>
  <si>
    <t>MANTENIMIENTO SISTEMAS ADMINISTRATIVOS SICOF - ADA</t>
  </si>
  <si>
    <r>
      <rPr>
        <b/>
        <sz val="9"/>
        <rFont val="Arial"/>
        <family val="2"/>
      </rPr>
      <t>EBI - MANTENIMIENTO SISTEMA ELÉCTRICO.</t>
    </r>
    <r>
      <rPr>
        <sz val="9"/>
        <rFont val="Arial"/>
        <family val="2"/>
      </rPr>
      <t xml:space="preserve"> MANTENIMIENTO PREVENTIVO Y CORRECTIVO CON REPUESTOS PARA LAS UPS POWERWARE PROPIEDAD AGN.</t>
    </r>
  </si>
  <si>
    <t>MANTENIMIENTO PREVENTIVO Y CORRECTIVO (QUE INCLUYE CAMBIO DEL SISTEMA DE TERMOSTATO DEL EQUIPO) Y CALIBRACIÓN DE LA CÁMARA DE ENVEJECIMIENTO SUNTEST, MARCA ATLAS</t>
  </si>
  <si>
    <t>MANTENIMIENTO PREVENTIVO Y CALIBRACIÓN DE DIGITALIZADOR DE MICROFILMES MEKEL V MARCA MEKEL</t>
  </si>
  <si>
    <r>
      <rPr>
        <b/>
        <sz val="9"/>
        <rFont val="Arial"/>
        <family val="2"/>
      </rPr>
      <t>EBI - MANTENIMIENTO SISTEMA HIDRAULICO</t>
    </r>
    <r>
      <rPr>
        <sz val="9"/>
        <rFont val="Arial"/>
        <family val="2"/>
      </rPr>
      <t>. MANTENIMIENTO PREVENTIVO Y CORRECTIVO DEL SISTEMA DE BOMBEO DE AGUA POTABLE</t>
    </r>
  </si>
  <si>
    <t>MANTENIMIENTO PREVENTIVO Y CORRECTIVO CON REPUESTOS (QUE INCLUYE EL SUMINISTRO DE LLANTAS, CONVERSIÓN A GAS Y OTROS REPUESTOS BÁSICOS) DEL PARQUE AUTOMOTOR</t>
  </si>
  <si>
    <r>
      <rPr>
        <b/>
        <sz val="9"/>
        <rFont val="Arial"/>
        <family val="2"/>
      </rPr>
      <t>EBI - MANTENIMIENTO SISTEMA ELÉCTRICO.</t>
    </r>
    <r>
      <rPr>
        <sz val="9"/>
        <rFont val="Arial"/>
        <family val="2"/>
      </rPr>
      <t xml:space="preserve"> MANTENIMIENTO PREVENTIVO Y CORRECTIVO (INCLUIDA LA MANO DE OBRA) DE LAS UPS PROPIEDAD DEL AGN, DOS (2) UPS MARCA POWER COM Y UNA (1) UPS MARCA POWER SUN, UBICADAS EN LA CARRERA 6 NO. 6-91 Y CALLE 18SLIR NO. 28-59.</t>
    </r>
  </si>
  <si>
    <r>
      <rPr>
        <b/>
        <sz val="9"/>
        <rFont val="Arial"/>
        <family val="2"/>
      </rPr>
      <t>EBI - MANTENIMIENTO SISTEMA DE SEGURIDAD</t>
    </r>
    <r>
      <rPr>
        <sz val="9"/>
        <rFont val="Arial"/>
        <family val="2"/>
      </rPr>
      <t>. MANTENIMIENTO Y CARGA DE LOS EQUIPOS CONTRA INCENDIOS PARA LAS SEDES CARRERA 6 NO. 6-91 Y CALLE 18 SUR NO. 28-59</t>
    </r>
  </si>
  <si>
    <r>
      <rPr>
        <b/>
        <sz val="9"/>
        <rFont val="Arial"/>
        <family val="2"/>
      </rPr>
      <t>EBI - MANTENIMIENTO Y CALIBRACIÓN DE EQUIPOS DE GLR.</t>
    </r>
    <r>
      <rPr>
        <sz val="9"/>
        <rFont val="Arial"/>
        <family val="2"/>
      </rPr>
      <t xml:space="preserve"> MANTENIMIENTO PREVENTIVO, CORRECTIVO (SIN REPUESTOS) Y CALIBRACIÓN DEL EQUIPO ESCRITOR DIGITAL DE MICROFILMES SMA 51 MARCA SMA</t>
    </r>
  </si>
  <si>
    <r>
      <rPr>
        <b/>
        <sz val="9"/>
        <rFont val="Arial"/>
        <family val="2"/>
      </rPr>
      <t>EBI - MANTENIMIENTO INSTALACIONES LOCATIVAS.</t>
    </r>
    <r>
      <rPr>
        <sz val="9"/>
        <rFont val="Arial"/>
        <family val="2"/>
      </rPr>
      <t xml:space="preserve"> ADECUACION DE SALAS Y AREAS DE TRABAJO. (CENTRO DE COMPUTO) EQUIPO DE AIRE ACONDICIONADO DE PRECISIÓN ENTRE 5 Y 6 TONELADAS DE AIRE DE REFRIGERACIÓN</t>
    </r>
  </si>
  <si>
    <t>RUEDAS PARA CARRO TRANSPO MASISA REF 8*2 (SOBRE MUESTRA)</t>
  </si>
  <si>
    <r>
      <t xml:space="preserve">ADECUACIÓN Y MANTENIMIENTO. </t>
    </r>
    <r>
      <rPr>
        <sz val="9"/>
        <rFont val="Arial"/>
        <family val="2"/>
      </rPr>
      <t>SUMINISTRO, ADECUACIÓN E INSTALACIÓN DE DOS MARCOS DE MEDIO BOCEL EN MADERA DE CEDRO CON VIDRIO DE SEGURIDAD Y UNA PUERTA DE VIDRIO DE SEGURIDAD CON MARCO EN MADERA DE CEDRO</t>
    </r>
    <r>
      <rPr>
        <b/>
        <sz val="9"/>
        <rFont val="Arial"/>
        <family val="2"/>
      </rPr>
      <t xml:space="preserve"> </t>
    </r>
  </si>
  <si>
    <t>SERVICIO DE ALQUILER DE ESCÁNER Y EQUIPO DE COMPUTO</t>
  </si>
  <si>
    <t>DIFERENCIA APROIACIÓN INICIAL</t>
  </si>
  <si>
    <t>OTROS MANTENIMIENTO DE BIENES MUEBLES, EQUIPOS Y ENSERES INVERSIÓN</t>
  </si>
  <si>
    <t>OTROS RENOVACIÓN DE TECNOLOGÍAS</t>
  </si>
  <si>
    <t>OTROS SERVICIOS ADECUACIÓN Y MANTENIMIENTO</t>
  </si>
  <si>
    <t>EBI - ADECUACIÓN Y MANTENIMIENTO ANUAL DE LA BODEGA. OTROS</t>
  </si>
  <si>
    <t>Subtotal MOBILIARIO Y ENSERES</t>
  </si>
  <si>
    <t>Subtotal DOTACIÓN INDUSTRIAL</t>
  </si>
  <si>
    <t>Subtotal OTROS MATERIALES Y SUMINISTROS</t>
  </si>
  <si>
    <t>TOTAL MATERIALES Y SUMINISTROS</t>
  </si>
  <si>
    <t>SERVICIO DE VIGILANCIA</t>
  </si>
  <si>
    <t xml:space="preserve">PASAJES AÉREOS NACIONALES E INTERNACIONALES  PARA  ACTIVIDADES DE CAPACITACION DEL  SNA </t>
  </si>
  <si>
    <t>Dr. CARLOS ALBERTO ZAPATA CÁRDENAS</t>
  </si>
  <si>
    <t>Vto. Bo. Tanya Paulina Muskus Cuervo</t>
  </si>
  <si>
    <t>ESCANER</t>
  </si>
  <si>
    <t xml:space="preserve">SERVIDOR </t>
  </si>
  <si>
    <t xml:space="preserve">SOFTWARE DE MONITOREO DE IMPRESIONES </t>
  </si>
  <si>
    <t xml:space="preserve">LICENCIAS DE SOFTWARE CAL PARA SERVIDORES </t>
  </si>
  <si>
    <t xml:space="preserve">LICENCIAS DE ANTIVIRUS </t>
  </si>
  <si>
    <t>LICENCIAS SERVIDORES SISTEMA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</si>
</sst>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(&quot;$&quot;\ * #,##0_);_(&quot;$&quot;\ * \(#,##0\);_(&quot;$&quot;\ * &quot;-&quot;??_);_(@_)"/>
    <numFmt numFmtId="167" formatCode="###,###,###,###,###,##0;\ \(###,###,###,###,###,##0\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indexed="62"/>
      <name val="Arial"/>
      <family val="2"/>
    </font>
    <font>
      <b/>
      <sz val="13"/>
      <name val="Arial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u val="singleAccounting"/>
      <sz val="9"/>
      <color theme="1"/>
      <name val="Arial Narrow"/>
      <family val="2"/>
    </font>
    <font>
      <b/>
      <sz val="8"/>
      <name val="Arial"/>
      <family val="2"/>
    </font>
    <font>
      <b/>
      <sz val="9"/>
      <color theme="3" tint="0.799981688894314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89">
    <xf numFmtId="0" fontId="0" fillId="0" borderId="0" xfId="0"/>
    <xf numFmtId="0" fontId="0" fillId="0" borderId="0" xfId="0"/>
    <xf numFmtId="0" fontId="0" fillId="0" borderId="0" xfId="0" applyBorder="1"/>
    <xf numFmtId="0" fontId="20" fillId="2" borderId="0" xfId="0" applyFont="1" applyFill="1" applyBorder="1"/>
    <xf numFmtId="0" fontId="7" fillId="2" borderId="0" xfId="0" applyFont="1" applyFill="1" applyBorder="1"/>
    <xf numFmtId="0" fontId="20" fillId="2" borderId="0" xfId="0" applyFont="1" applyFill="1" applyBorder="1" applyAlignment="1">
      <alignment horizontal="center"/>
    </xf>
    <xf numFmtId="165" fontId="19" fillId="2" borderId="0" xfId="1" applyNumberFormat="1" applyFont="1" applyFill="1" applyBorder="1"/>
    <xf numFmtId="165" fontId="19" fillId="2" borderId="0" xfId="0" applyNumberFormat="1" applyFont="1" applyFill="1" applyBorder="1"/>
    <xf numFmtId="165" fontId="20" fillId="2" borderId="0" xfId="1" applyNumberFormat="1" applyFont="1" applyFill="1" applyBorder="1"/>
    <xf numFmtId="3" fontId="20" fillId="2" borderId="0" xfId="0" applyNumberFormat="1" applyFont="1" applyFill="1" applyBorder="1"/>
    <xf numFmtId="165" fontId="16" fillId="2" borderId="0" xfId="1" applyNumberFormat="1" applyFont="1" applyFill="1" applyBorder="1"/>
    <xf numFmtId="43" fontId="7" fillId="2" borderId="0" xfId="1" applyFont="1" applyFill="1" applyBorder="1"/>
    <xf numFmtId="165" fontId="7" fillId="2" borderId="0" xfId="0" applyNumberFormat="1" applyFont="1" applyFill="1" applyBorder="1"/>
    <xf numFmtId="4" fontId="21" fillId="0" borderId="0" xfId="0" applyNumberFormat="1" applyFont="1" applyBorder="1"/>
    <xf numFmtId="165" fontId="13" fillId="0" borderId="7" xfId="1" applyNumberFormat="1" applyFont="1" applyFill="1" applyBorder="1" applyAlignment="1">
      <alignment horizontal="justify"/>
    </xf>
    <xf numFmtId="44" fontId="0" fillId="0" borderId="0" xfId="3" applyFont="1"/>
    <xf numFmtId="43" fontId="0" fillId="0" borderId="0" xfId="1" applyFont="1"/>
    <xf numFmtId="165" fontId="5" fillId="0" borderId="7" xfId="1" applyNumberFormat="1" applyFont="1" applyFill="1" applyBorder="1" applyAlignment="1"/>
    <xf numFmtId="165" fontId="13" fillId="0" borderId="7" xfId="1" applyNumberFormat="1" applyFont="1" applyFill="1" applyBorder="1" applyAlignment="1">
      <alignment horizontal="right"/>
    </xf>
    <xf numFmtId="165" fontId="13" fillId="0" borderId="7" xfId="1" applyNumberFormat="1" applyFont="1" applyFill="1" applyBorder="1"/>
    <xf numFmtId="165" fontId="2" fillId="0" borderId="7" xfId="1" applyNumberFormat="1" applyFont="1" applyFill="1" applyBorder="1"/>
    <xf numFmtId="165" fontId="16" fillId="0" borderId="0" xfId="1" applyNumberFormat="1" applyFont="1" applyFill="1"/>
    <xf numFmtId="43" fontId="19" fillId="0" borderId="0" xfId="1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justify" vertical="center"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horizontal="right"/>
    </xf>
    <xf numFmtId="165" fontId="3" fillId="0" borderId="12" xfId="1" applyNumberFormat="1" applyFont="1" applyFill="1" applyBorder="1" applyAlignment="1">
      <alignment horizontal="right"/>
    </xf>
    <xf numFmtId="164" fontId="8" fillId="0" borderId="0" xfId="0" applyNumberFormat="1" applyFont="1" applyFill="1" applyAlignment="1"/>
    <xf numFmtId="164" fontId="5" fillId="0" borderId="7" xfId="0" applyNumberFormat="1" applyFont="1" applyFill="1" applyBorder="1" applyAlignment="1"/>
    <xf numFmtId="0" fontId="5" fillId="0" borderId="7" xfId="0" applyFont="1" applyFill="1" applyBorder="1" applyAlignment="1"/>
    <xf numFmtId="165" fontId="4" fillId="0" borderId="7" xfId="1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8" fillId="0" borderId="6" xfId="2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justify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/>
    </xf>
    <xf numFmtId="0" fontId="9" fillId="0" borderId="6" xfId="2" applyFont="1" applyFill="1" applyBorder="1" applyAlignment="1">
      <alignment horizontal="justify" vertical="center" wrapText="1"/>
    </xf>
    <xf numFmtId="3" fontId="4" fillId="0" borderId="7" xfId="0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horizontal="justify" vertical="justify"/>
    </xf>
    <xf numFmtId="0" fontId="2" fillId="0" borderId="7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165" fontId="12" fillId="0" borderId="5" xfId="1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justify" vertical="top" wrapText="1"/>
    </xf>
    <xf numFmtId="165" fontId="5" fillId="0" borderId="7" xfId="1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justify" vertical="top"/>
    </xf>
    <xf numFmtId="165" fontId="8" fillId="0" borderId="7" xfId="1" applyNumberFormat="1" applyFont="1" applyFill="1" applyBorder="1"/>
    <xf numFmtId="164" fontId="2" fillId="0" borderId="0" xfId="0" applyNumberFormat="1" applyFont="1" applyFill="1" applyAlignment="1"/>
    <xf numFmtId="43" fontId="7" fillId="0" borderId="0" xfId="0" applyNumberFormat="1" applyFont="1" applyFill="1"/>
    <xf numFmtId="0" fontId="14" fillId="0" borderId="7" xfId="0" applyFont="1" applyFill="1" applyBorder="1" applyAlignment="1"/>
    <xf numFmtId="165" fontId="4" fillId="0" borderId="5" xfId="1" applyNumberFormat="1" applyFont="1" applyFill="1" applyBorder="1" applyAlignment="1">
      <alignment horizontal="right"/>
    </xf>
    <xf numFmtId="43" fontId="7" fillId="0" borderId="0" xfId="1" applyFont="1" applyFill="1"/>
    <xf numFmtId="0" fontId="8" fillId="0" borderId="6" xfId="0" applyFont="1" applyFill="1" applyBorder="1" applyAlignment="1">
      <alignment horizontal="justify" vertical="center"/>
    </xf>
    <xf numFmtId="3" fontId="5" fillId="0" borderId="7" xfId="0" applyNumberFormat="1" applyFont="1" applyFill="1" applyBorder="1" applyAlignment="1"/>
    <xf numFmtId="0" fontId="4" fillId="0" borderId="7" xfId="0" applyFont="1" applyFill="1" applyBorder="1" applyAlignment="1">
      <alignment horizontal="center"/>
    </xf>
    <xf numFmtId="164" fontId="8" fillId="0" borderId="9" xfId="0" applyNumberFormat="1" applyFont="1" applyFill="1" applyBorder="1" applyAlignment="1"/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/>
    <xf numFmtId="43" fontId="2" fillId="0" borderId="7" xfId="1" applyFont="1" applyFill="1" applyBorder="1" applyAlignment="1">
      <alignment horizontal="right"/>
    </xf>
    <xf numFmtId="165" fontId="2" fillId="0" borderId="5" xfId="1" applyNumberFormat="1" applyFont="1" applyFill="1" applyBorder="1"/>
    <xf numFmtId="0" fontId="2" fillId="0" borderId="0" xfId="0" applyFont="1" applyFill="1" applyBorder="1"/>
    <xf numFmtId="165" fontId="2" fillId="0" borderId="7" xfId="0" applyNumberFormat="1" applyFont="1" applyFill="1" applyBorder="1"/>
    <xf numFmtId="43" fontId="22" fillId="0" borderId="0" xfId="1" applyFont="1" applyFill="1"/>
    <xf numFmtId="0" fontId="23" fillId="0" borderId="0" xfId="0" applyFont="1" applyFill="1"/>
    <xf numFmtId="0" fontId="2" fillId="0" borderId="7" xfId="0" applyFont="1" applyFill="1" applyBorder="1" applyAlignment="1"/>
    <xf numFmtId="0" fontId="24" fillId="0" borderId="0" xfId="0" applyFont="1" applyFill="1"/>
    <xf numFmtId="0" fontId="2" fillId="0" borderId="6" xfId="2" applyFont="1" applyFill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/>
    <xf numFmtId="0" fontId="2" fillId="0" borderId="6" xfId="0" applyFont="1" applyFill="1" applyBorder="1" applyAlignment="1">
      <alignment horizontal="justify" vertical="center"/>
    </xf>
    <xf numFmtId="0" fontId="2" fillId="0" borderId="0" xfId="0" applyFont="1" applyFill="1"/>
    <xf numFmtId="3" fontId="2" fillId="0" borderId="7" xfId="0" applyNumberFormat="1" applyFont="1" applyFill="1" applyBorder="1"/>
    <xf numFmtId="3" fontId="3" fillId="0" borderId="7" xfId="0" applyNumberFormat="1" applyFont="1" applyFill="1" applyBorder="1"/>
    <xf numFmtId="165" fontId="3" fillId="0" borderId="5" xfId="1" applyNumberFormat="1" applyFont="1" applyFill="1" applyBorder="1"/>
    <xf numFmtId="165" fontId="3" fillId="0" borderId="7" xfId="1" applyNumberFormat="1" applyFont="1" applyFill="1" applyBorder="1"/>
    <xf numFmtId="0" fontId="2" fillId="0" borderId="7" xfId="0" applyFont="1" applyFill="1" applyBorder="1" applyAlignment="1">
      <alignment horizontal="right" vertical="justify"/>
    </xf>
    <xf numFmtId="165" fontId="3" fillId="0" borderId="7" xfId="1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justify" vertic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right"/>
    </xf>
    <xf numFmtId="3" fontId="8" fillId="0" borderId="7" xfId="0" applyNumberFormat="1" applyFont="1" applyFill="1" applyBorder="1"/>
    <xf numFmtId="165" fontId="8" fillId="0" borderId="5" xfId="1" applyNumberFormat="1" applyFont="1" applyFill="1" applyBorder="1"/>
    <xf numFmtId="0" fontId="8" fillId="0" borderId="0" xfId="0" applyFont="1" applyFill="1" applyBorder="1"/>
    <xf numFmtId="43" fontId="8" fillId="0" borderId="7" xfId="1" applyFont="1" applyFill="1" applyBorder="1"/>
    <xf numFmtId="164" fontId="8" fillId="0" borderId="7" xfId="0" applyNumberFormat="1" applyFont="1" applyFill="1" applyBorder="1"/>
    <xf numFmtId="165" fontId="7" fillId="0" borderId="0" xfId="0" applyNumberFormat="1" applyFont="1" applyFill="1"/>
    <xf numFmtId="43" fontId="8" fillId="0" borderId="5" xfId="1" applyFont="1" applyFill="1" applyBorder="1"/>
    <xf numFmtId="0" fontId="8" fillId="0" borderId="6" xfId="0" applyFont="1" applyFill="1" applyBorder="1"/>
    <xf numFmtId="3" fontId="9" fillId="0" borderId="7" xfId="0" applyNumberFormat="1" applyFont="1" applyFill="1" applyBorder="1"/>
    <xf numFmtId="165" fontId="9" fillId="0" borderId="5" xfId="1" applyNumberFormat="1" applyFont="1" applyFill="1" applyBorder="1"/>
    <xf numFmtId="0" fontId="9" fillId="0" borderId="6" xfId="2" applyFont="1" applyFill="1" applyBorder="1" applyAlignment="1">
      <alignment horizontal="justify" vertical="center"/>
    </xf>
    <xf numFmtId="0" fontId="8" fillId="0" borderId="0" xfId="0" applyFont="1" applyFill="1"/>
    <xf numFmtId="0" fontId="2" fillId="0" borderId="6" xfId="2" applyFont="1" applyFill="1" applyBorder="1" applyAlignment="1">
      <alignment horizontal="justify" vertical="center"/>
    </xf>
    <xf numFmtId="43" fontId="25" fillId="0" borderId="0" xfId="1" applyFont="1" applyFill="1"/>
    <xf numFmtId="165" fontId="24" fillId="0" borderId="0" xfId="0" applyNumberFormat="1" applyFont="1" applyFill="1"/>
    <xf numFmtId="43" fontId="24" fillId="0" borderId="0" xfId="1" applyFont="1" applyFill="1"/>
    <xf numFmtId="43" fontId="24" fillId="0" borderId="0" xfId="0" applyNumberFormat="1" applyFont="1" applyFill="1"/>
    <xf numFmtId="0" fontId="2" fillId="0" borderId="6" xfId="0" applyFont="1" applyFill="1" applyBorder="1" applyAlignment="1" applyProtection="1">
      <alignment horizontal="justify" vertical="center"/>
      <protection locked="0"/>
    </xf>
    <xf numFmtId="3" fontId="24" fillId="0" borderId="0" xfId="0" applyNumberFormat="1" applyFont="1" applyFill="1"/>
    <xf numFmtId="3" fontId="8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justify" vertical="top"/>
    </xf>
    <xf numFmtId="43" fontId="2" fillId="0" borderId="7" xfId="1" applyFont="1" applyFill="1" applyBorder="1"/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top" wrapText="1"/>
    </xf>
    <xf numFmtId="167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3" fillId="0" borderId="6" xfId="2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/>
    <xf numFmtId="0" fontId="3" fillId="0" borderId="7" xfId="0" applyFont="1" applyFill="1" applyBorder="1"/>
    <xf numFmtId="0" fontId="13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vertical="top" wrapText="1"/>
    </xf>
    <xf numFmtId="0" fontId="8" fillId="0" borderId="8" xfId="2" applyFont="1" applyFill="1" applyBorder="1" applyAlignment="1">
      <alignment horizontal="justify" vertical="center" wrapText="1"/>
    </xf>
    <xf numFmtId="0" fontId="8" fillId="0" borderId="26" xfId="0" applyFont="1" applyFill="1" applyBorder="1"/>
    <xf numFmtId="0" fontId="8" fillId="0" borderId="26" xfId="0" applyFont="1" applyFill="1" applyBorder="1" applyAlignment="1">
      <alignment horizontal="right"/>
    </xf>
    <xf numFmtId="3" fontId="8" fillId="0" borderId="26" xfId="0" applyNumberFormat="1" applyFont="1" applyFill="1" applyBorder="1"/>
    <xf numFmtId="165" fontId="9" fillId="0" borderId="21" xfId="1" applyNumberFormat="1" applyFont="1" applyFill="1" applyBorder="1"/>
    <xf numFmtId="165" fontId="8" fillId="0" borderId="0" xfId="1" applyNumberFormat="1" applyFont="1" applyFill="1"/>
    <xf numFmtId="0" fontId="8" fillId="0" borderId="0" xfId="0" applyFont="1" applyFill="1" applyAlignment="1">
      <alignment horizontal="right"/>
    </xf>
    <xf numFmtId="166" fontId="8" fillId="0" borderId="0" xfId="0" applyNumberFormat="1" applyFont="1" applyFill="1"/>
    <xf numFmtId="43" fontId="8" fillId="0" borderId="0" xfId="0" applyNumberFormat="1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/>
    <xf numFmtId="165" fontId="9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42" fontId="9" fillId="0" borderId="0" xfId="0" applyNumberFormat="1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center" wrapText="1"/>
    </xf>
    <xf numFmtId="0" fontId="8" fillId="0" borderId="7" xfId="2" applyFont="1" applyFill="1" applyBorder="1" applyAlignment="1">
      <alignment horizontal="right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42" fontId="9" fillId="0" borderId="7" xfId="2" applyNumberFormat="1" applyFont="1" applyFill="1" applyBorder="1" applyAlignment="1">
      <alignment horizontal="center" vertical="center"/>
    </xf>
    <xf numFmtId="42" fontId="9" fillId="0" borderId="7" xfId="2" applyNumberFormat="1" applyFont="1" applyFill="1" applyBorder="1" applyAlignment="1">
      <alignment horizontal="right" vertical="center"/>
    </xf>
    <xf numFmtId="165" fontId="9" fillId="0" borderId="7" xfId="1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42" fontId="11" fillId="0" borderId="0" xfId="2" applyNumberFormat="1" applyFont="1" applyFill="1" applyBorder="1" applyAlignment="1">
      <alignment horizontal="center" vertical="center"/>
    </xf>
    <xf numFmtId="42" fontId="11" fillId="0" borderId="0" xfId="2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43" fontId="8" fillId="0" borderId="0" xfId="1" applyFont="1" applyFill="1"/>
    <xf numFmtId="0" fontId="9" fillId="0" borderId="0" xfId="0" applyFont="1" applyFill="1" applyBorder="1" applyAlignment="1">
      <alignment horizontal="center" vertical="center"/>
    </xf>
    <xf numFmtId="42" fontId="9" fillId="0" borderId="19" xfId="0" applyNumberFormat="1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42" fontId="9" fillId="0" borderId="20" xfId="0" applyNumberFormat="1" applyFont="1" applyFill="1" applyBorder="1" applyAlignment="1">
      <alignment horizontal="right" vertical="center"/>
    </xf>
    <xf numFmtId="3" fontId="8" fillId="0" borderId="7" xfId="2" applyNumberFormat="1" applyFont="1" applyFill="1" applyBorder="1" applyAlignment="1">
      <alignment horizontal="right" vertical="center"/>
    </xf>
    <xf numFmtId="3" fontId="8" fillId="0" borderId="7" xfId="2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0" fontId="16" fillId="0" borderId="0" xfId="0" applyFont="1" applyFill="1"/>
    <xf numFmtId="42" fontId="9" fillId="0" borderId="2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42" fontId="9" fillId="0" borderId="0" xfId="2" applyNumberFormat="1" applyFont="1" applyFill="1" applyBorder="1" applyAlignment="1">
      <alignment horizontal="right" vertical="center"/>
    </xf>
    <xf numFmtId="42" fontId="9" fillId="0" borderId="0" xfId="2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165" fontId="9" fillId="0" borderId="25" xfId="1" applyNumberFormat="1" applyFont="1" applyFill="1" applyBorder="1" applyAlignment="1">
      <alignment horizontal="right" vertical="center"/>
    </xf>
    <xf numFmtId="43" fontId="10" fillId="0" borderId="0" xfId="1" applyFont="1" applyFill="1" applyAlignment="1">
      <alignment horizontal="right"/>
    </xf>
    <xf numFmtId="43" fontId="10" fillId="0" borderId="0" xfId="1" applyFont="1" applyFill="1"/>
    <xf numFmtId="165" fontId="7" fillId="0" borderId="0" xfId="1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165" fontId="26" fillId="0" borderId="0" xfId="1" applyNumberFormat="1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right"/>
    </xf>
    <xf numFmtId="43" fontId="18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2" fontId="12" fillId="0" borderId="0" xfId="2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/>
    <xf numFmtId="164" fontId="5" fillId="0" borderId="11" xfId="0" applyNumberFormat="1" applyFont="1" applyFill="1" applyBorder="1" applyAlignment="1"/>
    <xf numFmtId="0" fontId="5" fillId="0" borderId="11" xfId="0" applyFont="1" applyFill="1" applyBorder="1" applyAlignment="1"/>
    <xf numFmtId="165" fontId="5" fillId="0" borderId="11" xfId="1" applyNumberFormat="1" applyFont="1" applyFill="1" applyBorder="1" applyAlignment="1"/>
    <xf numFmtId="165" fontId="4" fillId="0" borderId="11" xfId="1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/>
    <xf numFmtId="0" fontId="2" fillId="0" borderId="6" xfId="0" applyFont="1" applyFill="1" applyBorder="1"/>
    <xf numFmtId="165" fontId="2" fillId="0" borderId="5" xfId="0" applyNumberFormat="1" applyFont="1" applyFill="1" applyBorder="1"/>
    <xf numFmtId="164" fontId="2" fillId="0" borderId="6" xfId="0" applyNumberFormat="1" applyFont="1" applyFill="1" applyBorder="1" applyAlignment="1"/>
    <xf numFmtId="165" fontId="8" fillId="0" borderId="26" xfId="1" applyNumberFormat="1" applyFont="1" applyFill="1" applyBorder="1"/>
    <xf numFmtId="0" fontId="8" fillId="0" borderId="8" xfId="0" applyFont="1" applyFill="1" applyBorder="1"/>
    <xf numFmtId="3" fontId="2" fillId="0" borderId="5" xfId="0" applyNumberFormat="1" applyFont="1" applyFill="1" applyBorder="1"/>
    <xf numFmtId="0" fontId="8" fillId="0" borderId="5" xfId="0" applyFont="1" applyFill="1" applyBorder="1"/>
    <xf numFmtId="165" fontId="8" fillId="0" borderId="26" xfId="0" applyNumberFormat="1" applyFont="1" applyFill="1" applyBorder="1"/>
    <xf numFmtId="43" fontId="9" fillId="0" borderId="5" xfId="1" applyFont="1" applyFill="1" applyBorder="1"/>
    <xf numFmtId="3" fontId="9" fillId="0" borderId="5" xfId="0" applyNumberFormat="1" applyFont="1" applyFill="1" applyBorder="1"/>
    <xf numFmtId="3" fontId="3" fillId="0" borderId="5" xfId="0" applyNumberFormat="1" applyFont="1" applyFill="1" applyBorder="1"/>
    <xf numFmtId="0" fontId="3" fillId="0" borderId="6" xfId="0" applyFont="1" applyFill="1" applyBorder="1"/>
    <xf numFmtId="0" fontId="8" fillId="0" borderId="9" xfId="0" applyFont="1" applyFill="1" applyBorder="1"/>
    <xf numFmtId="0" fontId="3" fillId="0" borderId="6" xfId="0" applyFont="1" applyFill="1" applyBorder="1" applyAlignment="1">
      <alignment horizontal="justify" vertical="justify"/>
    </xf>
    <xf numFmtId="0" fontId="13" fillId="0" borderId="6" xfId="0" applyFont="1" applyFill="1" applyBorder="1" applyAlignment="1">
      <alignment horizontal="justify" vertical="top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/>
    <xf numFmtId="0" fontId="10" fillId="0" borderId="0" xfId="0" applyFont="1" applyFill="1" applyBorder="1"/>
    <xf numFmtId="0" fontId="7" fillId="0" borderId="27" xfId="0" applyFont="1" applyFill="1" applyBorder="1"/>
    <xf numFmtId="0" fontId="3" fillId="0" borderId="6" xfId="0" applyFont="1" applyFill="1" applyBorder="1" applyAlignment="1">
      <alignment horizontal="justify" vertical="center"/>
    </xf>
    <xf numFmtId="0" fontId="3" fillId="0" borderId="6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justify" vertical="center"/>
    </xf>
    <xf numFmtId="43" fontId="9" fillId="0" borderId="7" xfId="1" applyFont="1" applyFill="1" applyBorder="1"/>
    <xf numFmtId="165" fontId="9" fillId="0" borderId="7" xfId="1" applyNumberFormat="1" applyFont="1" applyFill="1" applyBorder="1"/>
    <xf numFmtId="43" fontId="17" fillId="0" borderId="0" xfId="1" applyFont="1" applyFill="1" applyAlignment="1"/>
    <xf numFmtId="0" fontId="0" fillId="0" borderId="0" xfId="0" applyFill="1" applyAlignment="1"/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justify" vertical="center" wrapText="1"/>
    </xf>
    <xf numFmtId="0" fontId="8" fillId="0" borderId="9" xfId="2" applyFont="1" applyFill="1" applyBorder="1" applyAlignment="1">
      <alignment horizontal="justify" vertical="center" wrapText="1"/>
    </xf>
    <xf numFmtId="0" fontId="8" fillId="0" borderId="14" xfId="2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justify" vertical="center" wrapText="1"/>
    </xf>
    <xf numFmtId="0" fontId="9" fillId="0" borderId="7" xfId="2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Millares" xfId="1" builtinId="3"/>
    <cellStyle name="Moneda" xfId="3" builtinId="4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1437746</xdr:colOff>
      <xdr:row>21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37746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90"/>
    <xdr:sp macro="" textlink="">
      <xdr:nvSpPr>
        <xdr:cNvPr id="3" name="2 CuadroTexto"/>
        <xdr:cNvSpPr txBox="1"/>
      </xdr:nvSpPr>
      <xdr:spPr>
        <a:xfrm>
          <a:off x="1427163" y="12068175"/>
          <a:ext cx="194454" cy="2889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" name="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5" name="4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6" name="5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7" name="6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8" name="7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9" name="8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0" name="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" name="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3" name="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4" name="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5" name="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" name="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17" name="16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18" name="17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8888"/>
    <xdr:sp macro="" textlink="">
      <xdr:nvSpPr>
        <xdr:cNvPr id="19" name="18 CuadroTexto"/>
        <xdr:cNvSpPr txBox="1"/>
      </xdr:nvSpPr>
      <xdr:spPr>
        <a:xfrm>
          <a:off x="1432152" y="12068175"/>
          <a:ext cx="184731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20" name="1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21" name="2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22" name="2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3" name="2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4" name="2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5" name="2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6" name="2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27" name="26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928"/>
    <xdr:sp macro="" textlink="">
      <xdr:nvSpPr>
        <xdr:cNvPr id="28" name="27 CuadroTexto"/>
        <xdr:cNvSpPr txBox="1"/>
      </xdr:nvSpPr>
      <xdr:spPr>
        <a:xfrm>
          <a:off x="1427163" y="12068175"/>
          <a:ext cx="194454" cy="285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928"/>
    <xdr:sp macro="" textlink="">
      <xdr:nvSpPr>
        <xdr:cNvPr id="29" name="28 CuadroTexto"/>
        <xdr:cNvSpPr txBox="1"/>
      </xdr:nvSpPr>
      <xdr:spPr>
        <a:xfrm>
          <a:off x="1427163" y="12068175"/>
          <a:ext cx="194454" cy="285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928"/>
    <xdr:sp macro="" textlink="">
      <xdr:nvSpPr>
        <xdr:cNvPr id="30" name="29 CuadroTexto"/>
        <xdr:cNvSpPr txBox="1"/>
      </xdr:nvSpPr>
      <xdr:spPr>
        <a:xfrm>
          <a:off x="1427163" y="12068175"/>
          <a:ext cx="194454" cy="285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1" name="30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2" name="31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3" name="32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4" name="3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5" name="3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6" name="3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548"/>
    <xdr:sp macro="" textlink="">
      <xdr:nvSpPr>
        <xdr:cNvPr id="37" name="36 CuadroTexto"/>
        <xdr:cNvSpPr txBox="1"/>
      </xdr:nvSpPr>
      <xdr:spPr>
        <a:xfrm>
          <a:off x="1427163" y="12068175"/>
          <a:ext cx="194454" cy="2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548"/>
    <xdr:sp macro="" textlink="">
      <xdr:nvSpPr>
        <xdr:cNvPr id="38" name="37 CuadroTexto"/>
        <xdr:cNvSpPr txBox="1"/>
      </xdr:nvSpPr>
      <xdr:spPr>
        <a:xfrm>
          <a:off x="1427163" y="12068175"/>
          <a:ext cx="194454" cy="2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548"/>
    <xdr:sp macro="" textlink="">
      <xdr:nvSpPr>
        <xdr:cNvPr id="39" name="38 CuadroTexto"/>
        <xdr:cNvSpPr txBox="1"/>
      </xdr:nvSpPr>
      <xdr:spPr>
        <a:xfrm>
          <a:off x="1427163" y="12068175"/>
          <a:ext cx="194454" cy="2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40" name="39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41" name="40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42" name="41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3" name="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4" name="4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5" name="4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6" name="4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7" name="4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8" name="4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8888"/>
    <xdr:sp macro="" textlink="">
      <xdr:nvSpPr>
        <xdr:cNvPr id="49" name="48 CuadroTexto"/>
        <xdr:cNvSpPr txBox="1"/>
      </xdr:nvSpPr>
      <xdr:spPr>
        <a:xfrm>
          <a:off x="1432152" y="12068175"/>
          <a:ext cx="184731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548"/>
    <xdr:sp macro="" textlink="">
      <xdr:nvSpPr>
        <xdr:cNvPr id="50" name="49 CuadroTexto"/>
        <xdr:cNvSpPr txBox="1"/>
      </xdr:nvSpPr>
      <xdr:spPr>
        <a:xfrm>
          <a:off x="1427163" y="12068175"/>
          <a:ext cx="194454" cy="2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548"/>
    <xdr:sp macro="" textlink="">
      <xdr:nvSpPr>
        <xdr:cNvPr id="51" name="50 CuadroTexto"/>
        <xdr:cNvSpPr txBox="1"/>
      </xdr:nvSpPr>
      <xdr:spPr>
        <a:xfrm>
          <a:off x="1427163" y="12068175"/>
          <a:ext cx="194454" cy="2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548"/>
    <xdr:sp macro="" textlink="">
      <xdr:nvSpPr>
        <xdr:cNvPr id="52" name="51 CuadroTexto"/>
        <xdr:cNvSpPr txBox="1"/>
      </xdr:nvSpPr>
      <xdr:spPr>
        <a:xfrm>
          <a:off x="1427163" y="12068175"/>
          <a:ext cx="194454" cy="283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53" name="52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54" name="53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55" name="54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56" name="55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57" name="56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58" name="57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" name="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60" name="5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" name="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62" name="6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63" name="6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64" name="6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65" name="64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6" name="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7" name="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8" name="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69" name="68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70" name="69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71" name="70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72" name="71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73" name="72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74" name="73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75" name="74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76" name="75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7" name="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8" name="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9" name="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0" name="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1" name="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82" name="81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83" name="82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4" name="8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5" name="8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6" name="8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7" name="8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18"/>
    <xdr:sp macro="" textlink="">
      <xdr:nvSpPr>
        <xdr:cNvPr id="88" name="87 CuadroTexto"/>
        <xdr:cNvSpPr txBox="1"/>
      </xdr:nvSpPr>
      <xdr:spPr>
        <a:xfrm>
          <a:off x="1427163" y="12068175"/>
          <a:ext cx="194454" cy="289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18"/>
    <xdr:sp macro="" textlink="">
      <xdr:nvSpPr>
        <xdr:cNvPr id="89" name="88 CuadroTexto"/>
        <xdr:cNvSpPr txBox="1"/>
      </xdr:nvSpPr>
      <xdr:spPr>
        <a:xfrm>
          <a:off x="1427163" y="12068175"/>
          <a:ext cx="194454" cy="289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18"/>
    <xdr:sp macro="" textlink="">
      <xdr:nvSpPr>
        <xdr:cNvPr id="90" name="89 CuadroTexto"/>
        <xdr:cNvSpPr txBox="1"/>
      </xdr:nvSpPr>
      <xdr:spPr>
        <a:xfrm>
          <a:off x="1427163" y="12068175"/>
          <a:ext cx="194454" cy="289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18"/>
    <xdr:sp macro="" textlink="">
      <xdr:nvSpPr>
        <xdr:cNvPr id="91" name="90 CuadroTexto"/>
        <xdr:cNvSpPr txBox="1"/>
      </xdr:nvSpPr>
      <xdr:spPr>
        <a:xfrm>
          <a:off x="1427163" y="12068175"/>
          <a:ext cx="194454" cy="289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2" name="9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3" name="9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4" name="9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5" name="9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6" name="9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97" name="96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98" name="9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99" name="98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00" name="99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01" name="10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02" name="10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03" name="10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04" name="103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05" name="104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06" name="105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07" name="106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08" name="1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09" name="1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0" name="10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111" name="110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112" name="111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113" name="112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4" name="1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5" name="1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6" name="1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7" name="11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8" name="11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19" name="1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0" name="11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1" name="1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122" name="121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123" name="122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71"/>
    <xdr:sp macro="" textlink="">
      <xdr:nvSpPr>
        <xdr:cNvPr id="124" name="123 CuadroTexto"/>
        <xdr:cNvSpPr txBox="1"/>
      </xdr:nvSpPr>
      <xdr:spPr>
        <a:xfrm>
          <a:off x="1427163" y="12068175"/>
          <a:ext cx="194454" cy="288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71"/>
    <xdr:sp macro="" textlink="">
      <xdr:nvSpPr>
        <xdr:cNvPr id="125" name="124 CuadroTexto"/>
        <xdr:cNvSpPr txBox="1"/>
      </xdr:nvSpPr>
      <xdr:spPr>
        <a:xfrm>
          <a:off x="1427163" y="12068175"/>
          <a:ext cx="194454" cy="288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6" name="1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7" name="1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8" name="1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9" name="1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30" name="12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31" name="13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32" name="13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33" name="1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34" name="13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35" name="1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6" name="13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7" name="13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8" name="13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9" name="13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40" name="1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41" name="1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42" name="1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43" name="1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44" name="1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45" name="1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46" name="14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47" name="14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48" name="14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49" name="14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0" name="14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1" name="15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2" name="15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3" name="15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4" name="15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5" name="15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6" name="15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7" name="15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8" name="15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59" name="15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0" name="15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1" name="16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2" name="16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3" name="16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4" name="16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5" name="16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6" name="16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7" name="16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8" name="16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9" name="16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0" name="16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1" name="17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2" name="17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3" name="17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4" name="17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5" name="17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6" name="17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7" name="17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8" name="17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79" name="17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0" name="17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1" name="18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2" name="18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3" name="18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4" name="18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5" name="18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6" name="18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7" name="18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8" name="18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89" name="18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0" name="18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1" name="19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2" name="19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3" name="19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4" name="19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5" name="19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6" name="19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197" name="196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198" name="197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99" name="19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00" name="19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01" name="20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02" name="20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03" name="20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458"/>
    <xdr:sp macro="" textlink="">
      <xdr:nvSpPr>
        <xdr:cNvPr id="204" name="203 CuadroTexto"/>
        <xdr:cNvSpPr txBox="1"/>
      </xdr:nvSpPr>
      <xdr:spPr>
        <a:xfrm>
          <a:off x="1432152" y="12068175"/>
          <a:ext cx="184731" cy="28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205" name="204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206" name="205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07" name="20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08" name="20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09" name="20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458"/>
    <xdr:sp macro="" textlink="">
      <xdr:nvSpPr>
        <xdr:cNvPr id="210" name="209 CuadroTexto"/>
        <xdr:cNvSpPr txBox="1"/>
      </xdr:nvSpPr>
      <xdr:spPr>
        <a:xfrm>
          <a:off x="1432152" y="12068175"/>
          <a:ext cx="184731" cy="28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211" name="210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10"/>
    <xdr:sp macro="" textlink="">
      <xdr:nvSpPr>
        <xdr:cNvPr id="212" name="211 CuadroTexto"/>
        <xdr:cNvSpPr txBox="1"/>
      </xdr:nvSpPr>
      <xdr:spPr>
        <a:xfrm>
          <a:off x="1432152" y="12068175"/>
          <a:ext cx="184731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13" name="212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14" name="213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15" name="214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16" name="215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17" name="21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18" name="217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19" name="218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20" name="219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21" name="220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22" name="221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23" name="222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24" name="223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25" name="224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26" name="225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27" name="22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228" name="22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93"/>
    <xdr:sp macro="" textlink="">
      <xdr:nvSpPr>
        <xdr:cNvPr id="229" name="228 CuadroTexto"/>
        <xdr:cNvSpPr txBox="1"/>
      </xdr:nvSpPr>
      <xdr:spPr>
        <a:xfrm>
          <a:off x="1427163" y="12068175"/>
          <a:ext cx="194454" cy="282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30" name="22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231" name="230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232" name="231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233" name="232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234" name="233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" name="2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36" name="23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37" name="23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38" name="23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39" name="238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40" name="239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41" name="240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42" name="24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43" name="24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44" name="24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245" name="244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46" name="245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47" name="24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48" name="247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249" name="24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250" name="249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51" name="250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0"/>
    <xdr:sp macro="" textlink="">
      <xdr:nvSpPr>
        <xdr:cNvPr id="252" name="251 CuadroTexto"/>
        <xdr:cNvSpPr txBox="1"/>
      </xdr:nvSpPr>
      <xdr:spPr>
        <a:xfrm>
          <a:off x="1427163" y="12068175"/>
          <a:ext cx="194454" cy="28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0"/>
    <xdr:sp macro="" textlink="">
      <xdr:nvSpPr>
        <xdr:cNvPr id="253" name="252 CuadroTexto"/>
        <xdr:cNvSpPr txBox="1"/>
      </xdr:nvSpPr>
      <xdr:spPr>
        <a:xfrm>
          <a:off x="1427163" y="12068175"/>
          <a:ext cx="194454" cy="28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0"/>
    <xdr:sp macro="" textlink="">
      <xdr:nvSpPr>
        <xdr:cNvPr id="254" name="253 CuadroTexto"/>
        <xdr:cNvSpPr txBox="1"/>
      </xdr:nvSpPr>
      <xdr:spPr>
        <a:xfrm>
          <a:off x="1427163" y="12068175"/>
          <a:ext cx="194454" cy="28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0"/>
    <xdr:sp macro="" textlink="">
      <xdr:nvSpPr>
        <xdr:cNvPr id="255" name="254 CuadroTexto"/>
        <xdr:cNvSpPr txBox="1"/>
      </xdr:nvSpPr>
      <xdr:spPr>
        <a:xfrm>
          <a:off x="1427163" y="12068175"/>
          <a:ext cx="194454" cy="28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0"/>
    <xdr:sp macro="" textlink="">
      <xdr:nvSpPr>
        <xdr:cNvPr id="256" name="255 CuadroTexto"/>
        <xdr:cNvSpPr txBox="1"/>
      </xdr:nvSpPr>
      <xdr:spPr>
        <a:xfrm>
          <a:off x="1427163" y="12068175"/>
          <a:ext cx="194454" cy="28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57" name="25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58" name="257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0"/>
    <xdr:sp macro="" textlink="">
      <xdr:nvSpPr>
        <xdr:cNvPr id="259" name="258 CuadroTexto"/>
        <xdr:cNvSpPr txBox="1"/>
      </xdr:nvSpPr>
      <xdr:spPr>
        <a:xfrm>
          <a:off x="1427163" y="12068175"/>
          <a:ext cx="194454" cy="28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60" name="25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261" name="260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262" name="261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263" name="262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64" name="2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65" name="2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66" name="2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67" name="2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68" name="267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69" name="268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70" name="269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71" name="270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72" name="271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273" name="27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74" name="2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75" name="274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276" name="275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277" name="276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278" name="277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279" name="278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80" name="2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81" name="28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82" name="28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83" name="28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84" name="283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85" name="284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286" name="285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87" name="28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88" name="28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89" name="28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290" name="28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91" name="290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92" name="291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93" name="292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294" name="29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295" name="294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296" name="295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297" name="296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298" name="297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299" name="298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00" name="299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01" name="300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02" name="301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03" name="302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04" name="303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05" name="30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78"/>
    <xdr:sp macro="" textlink="">
      <xdr:nvSpPr>
        <xdr:cNvPr id="306" name="305 CuadroTexto"/>
        <xdr:cNvSpPr txBox="1"/>
      </xdr:nvSpPr>
      <xdr:spPr>
        <a:xfrm>
          <a:off x="1427163" y="12068175"/>
          <a:ext cx="194454" cy="28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07" name="30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08" name="30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309" name="308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310" name="309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311" name="310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12" name="3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13" name="3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14" name="3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15" name="3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16" name="315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317" name="31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318" name="317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319" name="318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320" name="319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1" name="320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2" name="321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3" name="322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4" name="323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5" name="324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6" name="325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7" name="326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8" name="327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29" name="328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30" name="329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31" name="330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2"/>
    <xdr:sp macro="" textlink="">
      <xdr:nvSpPr>
        <xdr:cNvPr id="332" name="331 CuadroTexto"/>
        <xdr:cNvSpPr txBox="1"/>
      </xdr:nvSpPr>
      <xdr:spPr>
        <a:xfrm>
          <a:off x="1427163" y="12068175"/>
          <a:ext cx="194454" cy="283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33" name="332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34" name="333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35" name="334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36" name="335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37" name="336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38" name="337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39" name="338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40" name="339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41" name="340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42" name="341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43" name="342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2387"/>
    <xdr:sp macro="" textlink="">
      <xdr:nvSpPr>
        <xdr:cNvPr id="344" name="343 CuadroTexto"/>
        <xdr:cNvSpPr txBox="1"/>
      </xdr:nvSpPr>
      <xdr:spPr>
        <a:xfrm>
          <a:off x="1432152" y="109680375"/>
          <a:ext cx="184731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45" name="344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46" name="345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47" name="346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48" name="347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49" name="348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50" name="349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51" name="350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52" name="351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53" name="352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54" name="353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55" name="354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356" name="355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" name="3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" name="3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" name="3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" name="35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" name="3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362" name="36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363" name="36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364" name="36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365" name="36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10"/>
    <xdr:sp macro="" textlink="">
      <xdr:nvSpPr>
        <xdr:cNvPr id="366" name="365 CuadroTexto"/>
        <xdr:cNvSpPr txBox="1"/>
      </xdr:nvSpPr>
      <xdr:spPr>
        <a:xfrm>
          <a:off x="1427163" y="12068175"/>
          <a:ext cx="194454" cy="282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3"/>
    <xdr:sp macro="" textlink="">
      <xdr:nvSpPr>
        <xdr:cNvPr id="367" name="366 CuadroTexto"/>
        <xdr:cNvSpPr txBox="1"/>
      </xdr:nvSpPr>
      <xdr:spPr>
        <a:xfrm>
          <a:off x="1427163" y="12068175"/>
          <a:ext cx="194454" cy="283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63"/>
    <xdr:sp macro="" textlink="">
      <xdr:nvSpPr>
        <xdr:cNvPr id="368" name="367 CuadroTexto"/>
        <xdr:cNvSpPr txBox="1"/>
      </xdr:nvSpPr>
      <xdr:spPr>
        <a:xfrm>
          <a:off x="1427163" y="12068175"/>
          <a:ext cx="194454" cy="283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369" name="368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70" name="3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71" name="3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2" name="37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3" name="37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4" name="37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5" name="37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6" name="37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7" name="37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8" name="37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79" name="37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0" name="37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1" name="38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2" name="38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3" name="38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4" name="38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5" name="38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6" name="38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7" name="38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8" name="38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89" name="38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0" name="38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1" name="39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2" name="39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3" name="39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4" name="39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5" name="39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6" name="39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7" name="39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8" name="39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399" name="39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0" name="39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1" name="40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2" name="40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3" name="40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4" name="40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5" name="40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6" name="40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7" name="40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8" name="40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09" name="40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0" name="40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1" name="41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2" name="41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3" name="41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4" name="41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5" name="41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6" name="41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7" name="41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8" name="41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19" name="41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0" name="41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1" name="42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2" name="42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3" name="42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4" name="42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5" name="42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6" name="42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7" name="42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8" name="42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29" name="42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0" name="42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1" name="43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2" name="43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3" name="43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4" name="43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5" name="43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6" name="43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7" name="43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8" name="43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39" name="43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40" name="43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41" name="44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42" name="441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43" name="44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44" name="44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382"/>
    <xdr:sp macro="" textlink="">
      <xdr:nvSpPr>
        <xdr:cNvPr id="445" name="444 CuadroTexto"/>
        <xdr:cNvSpPr txBox="1"/>
      </xdr:nvSpPr>
      <xdr:spPr>
        <a:xfrm>
          <a:off x="1427163" y="12068175"/>
          <a:ext cx="194454" cy="284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90"/>
    <xdr:sp macro="" textlink="">
      <xdr:nvSpPr>
        <xdr:cNvPr id="446" name="445 CuadroTexto"/>
        <xdr:cNvSpPr txBox="1"/>
      </xdr:nvSpPr>
      <xdr:spPr>
        <a:xfrm>
          <a:off x="1427163" y="12068175"/>
          <a:ext cx="194454" cy="2889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47" name="44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48" name="44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49" name="44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50" name="44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51" name="45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52" name="45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53" name="45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54" name="45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55" name="45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56" name="4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457" name="456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458" name="457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459" name="458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60" name="45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61" name="46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62" name="46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63" name="46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93"/>
    <xdr:sp macro="" textlink="">
      <xdr:nvSpPr>
        <xdr:cNvPr id="464" name="463 CuadroTexto"/>
        <xdr:cNvSpPr txBox="1"/>
      </xdr:nvSpPr>
      <xdr:spPr>
        <a:xfrm>
          <a:off x="1427163" y="12068175"/>
          <a:ext cx="194454" cy="282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65" name="46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6" name="4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467" name="466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468" name="46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469" name="468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470" name="46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471" name="470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472" name="471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473" name="472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474" name="473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475" name="474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476" name="475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477" name="47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78" name="477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79" name="47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80" name="479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81" name="48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82" name="48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83" name="48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84" name="48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485" name="484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486" name="485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487" name="486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488" name="487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489" name="488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90" name="489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491" name="49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382"/>
    <xdr:sp macro="" textlink="">
      <xdr:nvSpPr>
        <xdr:cNvPr id="492" name="491 CuadroTexto"/>
        <xdr:cNvSpPr txBox="1"/>
      </xdr:nvSpPr>
      <xdr:spPr>
        <a:xfrm>
          <a:off x="1427163" y="12068175"/>
          <a:ext cx="194454" cy="284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90"/>
    <xdr:sp macro="" textlink="">
      <xdr:nvSpPr>
        <xdr:cNvPr id="493" name="492 CuadroTexto"/>
        <xdr:cNvSpPr txBox="1"/>
      </xdr:nvSpPr>
      <xdr:spPr>
        <a:xfrm>
          <a:off x="1427163" y="12068175"/>
          <a:ext cx="194454" cy="2889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94" name="49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95" name="49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96" name="49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97" name="49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98" name="49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499" name="49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00" name="49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01" name="50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02" name="50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03" name="50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504" name="503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505" name="504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506" name="505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07" name="506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08" name="507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09" name="50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510" name="50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11" name="51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12" name="51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13" name="51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14" name="51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15" name="51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16" name="515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17" name="516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18" name="51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19" name="51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20" name="51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21" name="520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22" name="521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23" name="522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24" name="523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25" name="52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93"/>
    <xdr:sp macro="" textlink="">
      <xdr:nvSpPr>
        <xdr:cNvPr id="526" name="525 CuadroTexto"/>
        <xdr:cNvSpPr txBox="1"/>
      </xdr:nvSpPr>
      <xdr:spPr>
        <a:xfrm>
          <a:off x="1427163" y="12068175"/>
          <a:ext cx="194454" cy="282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527" name="52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528" name="527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529" name="528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530" name="529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31" name="53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32" name="53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33" name="5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534" name="533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535" name="534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536" name="535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537" name="536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38" name="537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39" name="538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40" name="53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41" name="54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42" name="54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43" name="542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44" name="543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45" name="544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46" name="545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47" name="546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48" name="54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49" name="548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50" name="549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51" name="550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552" name="551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382"/>
    <xdr:sp macro="" textlink="">
      <xdr:nvSpPr>
        <xdr:cNvPr id="553" name="552 CuadroTexto"/>
        <xdr:cNvSpPr txBox="1"/>
      </xdr:nvSpPr>
      <xdr:spPr>
        <a:xfrm>
          <a:off x="1427163" y="12068175"/>
          <a:ext cx="194454" cy="284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90"/>
    <xdr:sp macro="" textlink="">
      <xdr:nvSpPr>
        <xdr:cNvPr id="554" name="553 CuadroTexto"/>
        <xdr:cNvSpPr txBox="1"/>
      </xdr:nvSpPr>
      <xdr:spPr>
        <a:xfrm>
          <a:off x="1427163" y="12068175"/>
          <a:ext cx="194454" cy="2889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55" name="55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56" name="55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57" name="55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58" name="55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59" name="55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60" name="55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61" name="56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62" name="56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563" name="56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64" name="5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565" name="564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566" name="565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567" name="566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68" name="567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69" name="56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70" name="569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571" name="57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72" name="57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73" name="57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74" name="57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75" name="574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576" name="575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77" name="57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78" name="57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79" name="578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580" name="57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81" name="58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82" name="58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83" name="582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84" name="583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85" name="584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586" name="585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87" name="58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93"/>
    <xdr:sp macro="" textlink="">
      <xdr:nvSpPr>
        <xdr:cNvPr id="588" name="587 CuadroTexto"/>
        <xdr:cNvSpPr txBox="1"/>
      </xdr:nvSpPr>
      <xdr:spPr>
        <a:xfrm>
          <a:off x="1427163" y="12068175"/>
          <a:ext cx="194454" cy="282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589" name="588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590" name="589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591" name="590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592" name="591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593" name="59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594" name="59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" name="59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596" name="595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597" name="596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598" name="597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599" name="598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600" name="599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601" name="60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602" name="60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603" name="602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604" name="603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05" name="604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06" name="605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07" name="606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08" name="607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609" name="608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610" name="60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11" name="610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12" name="611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13" name="612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614" name="613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15" name="614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16" name="61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17" name="61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18" name="617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19" name="618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20" name="619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21" name="62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22" name="621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23" name="622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24" name="623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25" name="624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626" name="62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27" name="626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28" name="627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29" name="628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30" name="629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31" name="630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32" name="631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33" name="632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34" name="633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35" name="634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36" name="63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37" name="636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38" name="637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39" name="638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40" name="639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41" name="640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42" name="64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43" name="64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44" name="64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45" name="64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46" name="64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47" name="646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48" name="647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49" name="648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0" name="649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1" name="650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2" name="65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3" name="65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4" name="65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5" name="65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6" name="65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7" name="656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8" name="657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59" name="658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60" name="659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61" name="660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62" name="66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63" name="66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64" name="663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65" name="664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66" name="66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67" name="666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68" name="667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69" name="668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0" name="669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1" name="670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2" name="671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3" name="672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4" name="673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5" name="674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6" name="675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7" name="676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8" name="677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79" name="678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927"/>
    <xdr:sp macro="" textlink="">
      <xdr:nvSpPr>
        <xdr:cNvPr id="680" name="679 CuadroTexto"/>
        <xdr:cNvSpPr txBox="1"/>
      </xdr:nvSpPr>
      <xdr:spPr>
        <a:xfrm>
          <a:off x="1427163" y="12068175"/>
          <a:ext cx="194454" cy="28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1" name="680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2" name="68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3" name="68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4" name="68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5" name="68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6" name="68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7" name="686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8" name="687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89" name="688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690" name="689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691" name="690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692" name="691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693" name="692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694" name="693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695" name="694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696" name="695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697" name="696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698" name="697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699" name="698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08"/>
    <xdr:sp macro="" textlink="">
      <xdr:nvSpPr>
        <xdr:cNvPr id="700" name="699 CuadroTexto"/>
        <xdr:cNvSpPr txBox="1"/>
      </xdr:nvSpPr>
      <xdr:spPr>
        <a:xfrm>
          <a:off x="1427163" y="12068175"/>
          <a:ext cx="194454" cy="288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01" name="700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02" name="701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03" name="702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04" name="703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05" name="704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08"/>
    <xdr:sp macro="" textlink="">
      <xdr:nvSpPr>
        <xdr:cNvPr id="706" name="705 CuadroTexto"/>
        <xdr:cNvSpPr txBox="1"/>
      </xdr:nvSpPr>
      <xdr:spPr>
        <a:xfrm>
          <a:off x="1427163" y="12068175"/>
          <a:ext cx="194454" cy="288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07" name="706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08" name="707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09" name="708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10" name="709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11" name="710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12" name="711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13" name="712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14" name="713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15" name="714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16" name="715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17" name="716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08"/>
    <xdr:sp macro="" textlink="">
      <xdr:nvSpPr>
        <xdr:cNvPr id="718" name="717 CuadroTexto"/>
        <xdr:cNvSpPr txBox="1"/>
      </xdr:nvSpPr>
      <xdr:spPr>
        <a:xfrm>
          <a:off x="1427163" y="12068175"/>
          <a:ext cx="194454" cy="288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19" name="718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20" name="719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738"/>
    <xdr:sp macro="" textlink="">
      <xdr:nvSpPr>
        <xdr:cNvPr id="721" name="720 CuadroTexto"/>
        <xdr:cNvSpPr txBox="1"/>
      </xdr:nvSpPr>
      <xdr:spPr>
        <a:xfrm>
          <a:off x="1427163" y="12068175"/>
          <a:ext cx="194454" cy="282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738"/>
    <xdr:sp macro="" textlink="">
      <xdr:nvSpPr>
        <xdr:cNvPr id="722" name="721 CuadroTexto"/>
        <xdr:cNvSpPr txBox="1"/>
      </xdr:nvSpPr>
      <xdr:spPr>
        <a:xfrm>
          <a:off x="1427163" y="12068175"/>
          <a:ext cx="194454" cy="282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23" name="722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24" name="723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25" name="724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08"/>
    <xdr:sp macro="" textlink="">
      <xdr:nvSpPr>
        <xdr:cNvPr id="726" name="725 CuadroTexto"/>
        <xdr:cNvSpPr txBox="1"/>
      </xdr:nvSpPr>
      <xdr:spPr>
        <a:xfrm>
          <a:off x="1427163" y="12068175"/>
          <a:ext cx="194454" cy="288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27" name="726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28" name="727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29" name="728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0" name="729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31" name="730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2" name="731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3" name="732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4" name="733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5" name="734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6" name="735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737" name="73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8" name="737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39" name="738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40" name="739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41" name="740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42" name="741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743" name="74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44" name="743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6"/>
    <xdr:sp macro="" textlink="">
      <xdr:nvSpPr>
        <xdr:cNvPr id="745" name="744 CuadroTexto"/>
        <xdr:cNvSpPr txBox="1"/>
      </xdr:nvSpPr>
      <xdr:spPr>
        <a:xfrm>
          <a:off x="1427163" y="12068175"/>
          <a:ext cx="194454" cy="284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46" name="745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47" name="746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48" name="747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49" name="748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50" name="749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51" name="750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52" name="751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53" name="752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08"/>
    <xdr:sp macro="" textlink="">
      <xdr:nvSpPr>
        <xdr:cNvPr id="754" name="753 CuadroTexto"/>
        <xdr:cNvSpPr txBox="1"/>
      </xdr:nvSpPr>
      <xdr:spPr>
        <a:xfrm>
          <a:off x="1427163" y="12068175"/>
          <a:ext cx="194454" cy="288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28"/>
    <xdr:sp macro="" textlink="">
      <xdr:nvSpPr>
        <xdr:cNvPr id="755" name="754 CuadroTexto"/>
        <xdr:cNvSpPr txBox="1"/>
      </xdr:nvSpPr>
      <xdr:spPr>
        <a:xfrm>
          <a:off x="1427163" y="12068175"/>
          <a:ext cx="194454" cy="28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56" name="755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57" name="756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58" name="757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59" name="758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0" name="759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1" name="760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2" name="761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3" name="762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4" name="763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5" name="764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6" name="765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7" name="766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8" name="767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69" name="768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70" name="769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71" name="770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72" name="771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73" name="772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74" name="773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75" name="774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776" name="775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77" name="7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78" name="7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79" name="7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80" name="7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81" name="7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82" name="7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83" name="7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51"/>
    <xdr:sp macro="" textlink="">
      <xdr:nvSpPr>
        <xdr:cNvPr id="784" name="783 CuadroTexto"/>
        <xdr:cNvSpPr txBox="1"/>
      </xdr:nvSpPr>
      <xdr:spPr>
        <a:xfrm>
          <a:off x="1427163" y="12068175"/>
          <a:ext cx="194454" cy="289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51"/>
    <xdr:sp macro="" textlink="">
      <xdr:nvSpPr>
        <xdr:cNvPr id="785" name="784 CuadroTexto"/>
        <xdr:cNvSpPr txBox="1"/>
      </xdr:nvSpPr>
      <xdr:spPr>
        <a:xfrm>
          <a:off x="1427163" y="12068175"/>
          <a:ext cx="194454" cy="289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86" name="7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787" name="7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88" name="78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89" name="78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0" name="78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1" name="79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2" name="79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3" name="79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4" name="79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5" name="79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6" name="79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7" name="79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8" name="79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799" name="79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0" name="79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1" name="80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2" name="80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3" name="80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4" name="80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5" name="80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6" name="80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7" name="80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8" name="80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09" name="80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0" name="80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1" name="81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2" name="81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3" name="81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4" name="81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5" name="81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6" name="81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7" name="81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8" name="81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819" name="81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88"/>
    <xdr:sp macro="" textlink="">
      <xdr:nvSpPr>
        <xdr:cNvPr id="820" name="3 CuadroTexto"/>
        <xdr:cNvSpPr txBox="1"/>
      </xdr:nvSpPr>
      <xdr:spPr>
        <a:xfrm>
          <a:off x="1427163" y="12068175"/>
          <a:ext cx="194454" cy="2875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58"/>
    <xdr:sp macro="" textlink="">
      <xdr:nvSpPr>
        <xdr:cNvPr id="821" name="4 CuadroTexto"/>
        <xdr:cNvSpPr txBox="1"/>
      </xdr:nvSpPr>
      <xdr:spPr>
        <a:xfrm>
          <a:off x="1427163" y="12068175"/>
          <a:ext cx="194454" cy="284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822" name="5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823" name="6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824" name="7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825" name="8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826" name="9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827" name="1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28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829" name="1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830" name="1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831" name="1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832" name="15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833" name="1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834" name="17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835" name="18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836" name="19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9323"/>
    <xdr:sp macro="" textlink="">
      <xdr:nvSpPr>
        <xdr:cNvPr id="837" name="20 CuadroTexto"/>
        <xdr:cNvSpPr txBox="1"/>
      </xdr:nvSpPr>
      <xdr:spPr>
        <a:xfrm>
          <a:off x="1432152" y="12068175"/>
          <a:ext cx="184731" cy="28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838" name="2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839" name="22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840" name="23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841" name="2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842" name="25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843" name="26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844" name="27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845" name="28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846" name="29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47" name="30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48" name="3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49" name="3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850" name="33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851" name="34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852" name="35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88"/>
    <xdr:sp macro="" textlink="">
      <xdr:nvSpPr>
        <xdr:cNvPr id="853" name="36 CuadroTexto"/>
        <xdr:cNvSpPr txBox="1"/>
      </xdr:nvSpPr>
      <xdr:spPr>
        <a:xfrm>
          <a:off x="1427163" y="12068175"/>
          <a:ext cx="194454" cy="282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88"/>
    <xdr:sp macro="" textlink="">
      <xdr:nvSpPr>
        <xdr:cNvPr id="854" name="37 CuadroTexto"/>
        <xdr:cNvSpPr txBox="1"/>
      </xdr:nvSpPr>
      <xdr:spPr>
        <a:xfrm>
          <a:off x="1427163" y="12068175"/>
          <a:ext cx="194454" cy="282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88"/>
    <xdr:sp macro="" textlink="">
      <xdr:nvSpPr>
        <xdr:cNvPr id="855" name="38 CuadroTexto"/>
        <xdr:cNvSpPr txBox="1"/>
      </xdr:nvSpPr>
      <xdr:spPr>
        <a:xfrm>
          <a:off x="1427163" y="12068175"/>
          <a:ext cx="194454" cy="282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984"/>
    <xdr:sp macro="" textlink="">
      <xdr:nvSpPr>
        <xdr:cNvPr id="856" name="39 CuadroTexto"/>
        <xdr:cNvSpPr txBox="1"/>
      </xdr:nvSpPr>
      <xdr:spPr>
        <a:xfrm>
          <a:off x="1427163" y="109680375"/>
          <a:ext cx="194454" cy="29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984"/>
    <xdr:sp macro="" textlink="">
      <xdr:nvSpPr>
        <xdr:cNvPr id="857" name="40 CuadroTexto"/>
        <xdr:cNvSpPr txBox="1"/>
      </xdr:nvSpPr>
      <xdr:spPr>
        <a:xfrm>
          <a:off x="1427163" y="109680375"/>
          <a:ext cx="194454" cy="29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984"/>
    <xdr:sp macro="" textlink="">
      <xdr:nvSpPr>
        <xdr:cNvPr id="858" name="41 CuadroTexto"/>
        <xdr:cNvSpPr txBox="1"/>
      </xdr:nvSpPr>
      <xdr:spPr>
        <a:xfrm>
          <a:off x="1427163" y="109680375"/>
          <a:ext cx="194454" cy="29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59" name="42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60" name="43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61" name="44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62" name="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863" name="5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864" name="5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865" name="5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866" name="5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867" name="5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9323"/>
    <xdr:sp macro="" textlink="">
      <xdr:nvSpPr>
        <xdr:cNvPr id="868" name="59 CuadroTexto"/>
        <xdr:cNvSpPr txBox="1"/>
      </xdr:nvSpPr>
      <xdr:spPr>
        <a:xfrm>
          <a:off x="1432152" y="12068175"/>
          <a:ext cx="184731" cy="28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984"/>
    <xdr:sp macro="" textlink="">
      <xdr:nvSpPr>
        <xdr:cNvPr id="869" name="60 CuadroTexto"/>
        <xdr:cNvSpPr txBox="1"/>
      </xdr:nvSpPr>
      <xdr:spPr>
        <a:xfrm>
          <a:off x="1427163" y="109680375"/>
          <a:ext cx="194454" cy="29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984"/>
    <xdr:sp macro="" textlink="">
      <xdr:nvSpPr>
        <xdr:cNvPr id="870" name="61 CuadroTexto"/>
        <xdr:cNvSpPr txBox="1"/>
      </xdr:nvSpPr>
      <xdr:spPr>
        <a:xfrm>
          <a:off x="1427163" y="109680375"/>
          <a:ext cx="194454" cy="29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984"/>
    <xdr:sp macro="" textlink="">
      <xdr:nvSpPr>
        <xdr:cNvPr id="871" name="62 CuadroTexto"/>
        <xdr:cNvSpPr txBox="1"/>
      </xdr:nvSpPr>
      <xdr:spPr>
        <a:xfrm>
          <a:off x="1427163" y="109680375"/>
          <a:ext cx="194454" cy="29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72" name="63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73" name="64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74" name="65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75" name="66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76" name="67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717"/>
    <xdr:sp macro="" textlink="">
      <xdr:nvSpPr>
        <xdr:cNvPr id="877" name="68 CuadroTexto"/>
        <xdr:cNvSpPr txBox="1"/>
      </xdr:nvSpPr>
      <xdr:spPr>
        <a:xfrm>
          <a:off x="1427163" y="109680375"/>
          <a:ext cx="194454" cy="29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878" name="78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879" name="7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880" name="8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88"/>
    <xdr:sp macro="" textlink="">
      <xdr:nvSpPr>
        <xdr:cNvPr id="881" name="81 CuadroTexto"/>
        <xdr:cNvSpPr txBox="1"/>
      </xdr:nvSpPr>
      <xdr:spPr>
        <a:xfrm>
          <a:off x="1427163" y="12068175"/>
          <a:ext cx="194454" cy="282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882" name="145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883" name="146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884" name="147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85" name="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86" name="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87" name="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88" name="15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89" name="15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90" name="15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91" name="15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92" name="156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893" name="157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894" name="158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895" name="159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96" name="1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897" name="16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792"/>
    <xdr:sp macro="" textlink="">
      <xdr:nvSpPr>
        <xdr:cNvPr id="898" name="162 CuadroTexto"/>
        <xdr:cNvSpPr txBox="1"/>
      </xdr:nvSpPr>
      <xdr:spPr>
        <a:xfrm>
          <a:off x="1427163" y="12068175"/>
          <a:ext cx="194454" cy="2867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48"/>
    <xdr:sp macro="" textlink="">
      <xdr:nvSpPr>
        <xdr:cNvPr id="899" name="163 CuadroTexto"/>
        <xdr:cNvSpPr txBox="1"/>
      </xdr:nvSpPr>
      <xdr:spPr>
        <a:xfrm>
          <a:off x="1427163" y="12068175"/>
          <a:ext cx="194454" cy="289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48"/>
    <xdr:sp macro="" textlink="">
      <xdr:nvSpPr>
        <xdr:cNvPr id="900" name="164 CuadroTexto"/>
        <xdr:cNvSpPr txBox="1"/>
      </xdr:nvSpPr>
      <xdr:spPr>
        <a:xfrm>
          <a:off x="1427163" y="12068175"/>
          <a:ext cx="194454" cy="289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901" name="16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902" name="166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903" name="167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904" name="168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905" name="169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906" name="170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07" name="17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08" name="17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09" name="17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910" name="17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911" name="175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912" name="176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913" name="177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36"/>
    <xdr:sp macro="" textlink="">
      <xdr:nvSpPr>
        <xdr:cNvPr id="914" name="181 CuadroTexto"/>
        <xdr:cNvSpPr txBox="1"/>
      </xdr:nvSpPr>
      <xdr:spPr>
        <a:xfrm>
          <a:off x="1427163" y="12068175"/>
          <a:ext cx="194454" cy="2823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11"/>
    <xdr:sp macro="" textlink="">
      <xdr:nvSpPr>
        <xdr:cNvPr id="915" name="182 CuadroTexto"/>
        <xdr:cNvSpPr txBox="1"/>
      </xdr:nvSpPr>
      <xdr:spPr>
        <a:xfrm>
          <a:off x="1427163" y="12068175"/>
          <a:ext cx="194454" cy="289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58"/>
    <xdr:sp macro="" textlink="">
      <xdr:nvSpPr>
        <xdr:cNvPr id="916" name="183 CuadroTexto"/>
        <xdr:cNvSpPr txBox="1"/>
      </xdr:nvSpPr>
      <xdr:spPr>
        <a:xfrm>
          <a:off x="1427163" y="12068175"/>
          <a:ext cx="194454" cy="284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917" name="18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918" name="185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919" name="186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920" name="18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921" name="188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922" name="189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923" name="190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924" name="191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925" name="192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926" name="193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27" name="222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28" name="223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29" name="224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0" name="225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1" name="22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2" name="227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3" name="228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4" name="22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5" name="230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6" name="232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7" name="233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8" name="234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39" name="235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40" name="23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41" name="237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42" name="238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43" name="23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44" name="240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945" name="241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46" name="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47" name="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48" name="25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49" name="260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0" name="261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1" name="262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2" name="263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3" name="264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4" name="265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5" name="266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6" name="267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957" name="268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58" name="2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59" name="2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60" name="2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61" name="27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62" name="27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63" name="27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64" name="27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965" name="27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966" name="27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967" name="28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968" name="28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69" name="28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70" name="28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093"/>
    <xdr:sp macro="" textlink="">
      <xdr:nvSpPr>
        <xdr:cNvPr id="971" name="284 CuadroTexto"/>
        <xdr:cNvSpPr txBox="1"/>
      </xdr:nvSpPr>
      <xdr:spPr>
        <a:xfrm>
          <a:off x="1427163" y="12068175"/>
          <a:ext cx="194454" cy="2840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093"/>
    <xdr:sp macro="" textlink="">
      <xdr:nvSpPr>
        <xdr:cNvPr id="972" name="285 CuadroTexto"/>
        <xdr:cNvSpPr txBox="1"/>
      </xdr:nvSpPr>
      <xdr:spPr>
        <a:xfrm>
          <a:off x="1427163" y="12068175"/>
          <a:ext cx="194454" cy="2840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68"/>
    <xdr:sp macro="" textlink="">
      <xdr:nvSpPr>
        <xdr:cNvPr id="973" name="286 CuadroTexto"/>
        <xdr:cNvSpPr txBox="1"/>
      </xdr:nvSpPr>
      <xdr:spPr>
        <a:xfrm>
          <a:off x="1427163" y="12068175"/>
          <a:ext cx="194454" cy="287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68"/>
    <xdr:sp macro="" textlink="">
      <xdr:nvSpPr>
        <xdr:cNvPr id="974" name="287 CuadroTexto"/>
        <xdr:cNvSpPr txBox="1"/>
      </xdr:nvSpPr>
      <xdr:spPr>
        <a:xfrm>
          <a:off x="1427163" y="12068175"/>
          <a:ext cx="194454" cy="287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68"/>
    <xdr:sp macro="" textlink="">
      <xdr:nvSpPr>
        <xdr:cNvPr id="975" name="288 CuadroTexto"/>
        <xdr:cNvSpPr txBox="1"/>
      </xdr:nvSpPr>
      <xdr:spPr>
        <a:xfrm>
          <a:off x="1427163" y="12068175"/>
          <a:ext cx="194454" cy="287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976" name="289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977" name="290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978" name="291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979" name="292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980" name="293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26"/>
    <xdr:sp macro="" textlink="">
      <xdr:nvSpPr>
        <xdr:cNvPr id="981" name="294 CuadroTexto"/>
        <xdr:cNvSpPr txBox="1"/>
      </xdr:nvSpPr>
      <xdr:spPr>
        <a:xfrm>
          <a:off x="1427163" y="12068175"/>
          <a:ext cx="194454" cy="28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57"/>
    <xdr:sp macro="" textlink="">
      <xdr:nvSpPr>
        <xdr:cNvPr id="982" name="295 CuadroTexto"/>
        <xdr:cNvSpPr txBox="1"/>
      </xdr:nvSpPr>
      <xdr:spPr>
        <a:xfrm>
          <a:off x="1427163" y="12068175"/>
          <a:ext cx="194454" cy="28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83" name="29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84" name="297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85" name="29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986" name="299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87" name="3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88" name="31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989" name="3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792"/>
    <xdr:sp macro="" textlink="">
      <xdr:nvSpPr>
        <xdr:cNvPr id="990" name="321 CuadroTexto"/>
        <xdr:cNvSpPr txBox="1"/>
      </xdr:nvSpPr>
      <xdr:spPr>
        <a:xfrm>
          <a:off x="1427163" y="12068175"/>
          <a:ext cx="194454" cy="2867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48"/>
    <xdr:sp macro="" textlink="">
      <xdr:nvSpPr>
        <xdr:cNvPr id="991" name="322 CuadroTexto"/>
        <xdr:cNvSpPr txBox="1"/>
      </xdr:nvSpPr>
      <xdr:spPr>
        <a:xfrm>
          <a:off x="1427163" y="12068175"/>
          <a:ext cx="194454" cy="289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48"/>
    <xdr:sp macro="" textlink="">
      <xdr:nvSpPr>
        <xdr:cNvPr id="992" name="323 CuadroTexto"/>
        <xdr:cNvSpPr txBox="1"/>
      </xdr:nvSpPr>
      <xdr:spPr>
        <a:xfrm>
          <a:off x="1427163" y="12068175"/>
          <a:ext cx="194454" cy="289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993" name="324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994" name="325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995" name="326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996" name="327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997" name="328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998" name="329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999" name="330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78"/>
    <xdr:sp macro="" textlink="">
      <xdr:nvSpPr>
        <xdr:cNvPr id="1000" name="331 CuadroTexto"/>
        <xdr:cNvSpPr txBox="1"/>
      </xdr:nvSpPr>
      <xdr:spPr>
        <a:xfrm>
          <a:off x="1427163" y="12068175"/>
          <a:ext cx="194454" cy="287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01" name="332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02" name="333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82"/>
    <xdr:sp macro="" textlink="">
      <xdr:nvSpPr>
        <xdr:cNvPr id="1003" name="334 CuadroTexto"/>
        <xdr:cNvSpPr txBox="1"/>
      </xdr:nvSpPr>
      <xdr:spPr>
        <a:xfrm>
          <a:off x="1427163" y="12068175"/>
          <a:ext cx="194454" cy="282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82"/>
    <xdr:sp macro="" textlink="">
      <xdr:nvSpPr>
        <xdr:cNvPr id="1004" name="335 CuadroTexto"/>
        <xdr:cNvSpPr txBox="1"/>
      </xdr:nvSpPr>
      <xdr:spPr>
        <a:xfrm>
          <a:off x="1427163" y="12068175"/>
          <a:ext cx="194454" cy="282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05" name="342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06" name="343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07" name="34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78"/>
    <xdr:sp macro="" textlink="">
      <xdr:nvSpPr>
        <xdr:cNvPr id="1008" name="345 CuadroTexto"/>
        <xdr:cNvSpPr txBox="1"/>
      </xdr:nvSpPr>
      <xdr:spPr>
        <a:xfrm>
          <a:off x="1427163" y="12068175"/>
          <a:ext cx="194454" cy="287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09" name="346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10" name="347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11" name="348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12" name="34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13" name="350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14" name="351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15" name="35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16" name="35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17" name="35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18" name="355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1019" name="356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20" name="357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21" name="358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22" name="35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23" name="360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24" name="361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57"/>
    <xdr:sp macro="" textlink="">
      <xdr:nvSpPr>
        <xdr:cNvPr id="1025" name="362 CuadroTexto"/>
        <xdr:cNvSpPr txBox="1"/>
      </xdr:nvSpPr>
      <xdr:spPr>
        <a:xfrm>
          <a:off x="1427163" y="12068175"/>
          <a:ext cx="194454" cy="2888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26" name="363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27" name="36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28" name="371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29" name="37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30" name="37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57"/>
    <xdr:sp macro="" textlink="">
      <xdr:nvSpPr>
        <xdr:cNvPr id="1031" name="374 CuadroTexto"/>
        <xdr:cNvSpPr txBox="1"/>
      </xdr:nvSpPr>
      <xdr:spPr>
        <a:xfrm>
          <a:off x="1427163" y="12068175"/>
          <a:ext cx="194454" cy="2888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32" name="375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033" name="376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1034" name="377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1035" name="378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1036" name="379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1037" name="380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1038" name="381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009"/>
    <xdr:sp macro="" textlink="">
      <xdr:nvSpPr>
        <xdr:cNvPr id="1039" name="382 CuadroTexto"/>
        <xdr:cNvSpPr txBox="1"/>
      </xdr:nvSpPr>
      <xdr:spPr>
        <a:xfrm>
          <a:off x="1427163" y="12068175"/>
          <a:ext cx="194454" cy="287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0" name="383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1" name="384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2" name="385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3" name="386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1044" name="387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1045" name="388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6" name="389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7" name="390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8" name="391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49" name="392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50" name="393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78"/>
    <xdr:sp macro="" textlink="">
      <xdr:nvSpPr>
        <xdr:cNvPr id="1051" name="394 CuadroTexto"/>
        <xdr:cNvSpPr txBox="1"/>
      </xdr:nvSpPr>
      <xdr:spPr>
        <a:xfrm>
          <a:off x="1432152" y="12068175"/>
          <a:ext cx="184731" cy="282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1052" name="395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1053" name="396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54" name="403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55" name="404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37"/>
    <xdr:sp macro="" textlink="">
      <xdr:nvSpPr>
        <xdr:cNvPr id="1056" name="405 CuadroTexto"/>
        <xdr:cNvSpPr txBox="1"/>
      </xdr:nvSpPr>
      <xdr:spPr>
        <a:xfrm>
          <a:off x="1427163" y="12068175"/>
          <a:ext cx="194454" cy="285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2678"/>
    <xdr:sp macro="" textlink="">
      <xdr:nvSpPr>
        <xdr:cNvPr id="1057" name="406 CuadroTexto"/>
        <xdr:cNvSpPr txBox="1"/>
      </xdr:nvSpPr>
      <xdr:spPr>
        <a:xfrm>
          <a:off x="1432152" y="12068175"/>
          <a:ext cx="184731" cy="282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1058" name="407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33</xdr:row>
      <xdr:rowOff>0</xdr:rowOff>
    </xdr:from>
    <xdr:ext cx="184731" cy="284058"/>
    <xdr:sp macro="" textlink="">
      <xdr:nvSpPr>
        <xdr:cNvPr id="1059" name="408 CuadroTexto"/>
        <xdr:cNvSpPr txBox="1"/>
      </xdr:nvSpPr>
      <xdr:spPr>
        <a:xfrm>
          <a:off x="1432152" y="12068175"/>
          <a:ext cx="184731" cy="28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60" name="409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61" name="410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62" name="411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63" name="41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64" name="41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65" name="41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66" name="415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67" name="416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68" name="417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69" name="418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70" name="419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71" name="420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72" name="42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73" name="42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74" name="42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075" name="473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076" name="474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077" name="475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078" name="476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079" name="477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080" name="478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081" name="48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082" name="481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83" name="48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84" name="48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085" name="48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86" name="485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87" name="486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088" name="487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17"/>
    <xdr:sp macro="" textlink="">
      <xdr:nvSpPr>
        <xdr:cNvPr id="1089" name="488 CuadroTexto"/>
        <xdr:cNvSpPr txBox="1"/>
      </xdr:nvSpPr>
      <xdr:spPr>
        <a:xfrm>
          <a:off x="1427163" y="12068175"/>
          <a:ext cx="194454" cy="285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17"/>
    <xdr:sp macro="" textlink="">
      <xdr:nvSpPr>
        <xdr:cNvPr id="1090" name="489 CuadroTexto"/>
        <xdr:cNvSpPr txBox="1"/>
      </xdr:nvSpPr>
      <xdr:spPr>
        <a:xfrm>
          <a:off x="1427163" y="12068175"/>
          <a:ext cx="194454" cy="285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1091" name="49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092" name="49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93" name="49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094" name="49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1095" name="496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096" name="497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1097" name="498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098" name="499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330"/>
    <xdr:sp macro="" textlink="">
      <xdr:nvSpPr>
        <xdr:cNvPr id="1099" name="500 CuadroTexto"/>
        <xdr:cNvSpPr txBox="1"/>
      </xdr:nvSpPr>
      <xdr:spPr>
        <a:xfrm>
          <a:off x="1427163" y="12068175"/>
          <a:ext cx="194454" cy="284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00" name="50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01" name="50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02" name="50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03" name="50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04" name="50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1105" name="50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106" name="507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07" name="508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108" name="50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09" name="510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10" name="511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11" name="512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12" name="513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13" name="514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14" name="515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15" name="516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330"/>
    <xdr:sp macro="" textlink="">
      <xdr:nvSpPr>
        <xdr:cNvPr id="1116" name="517 CuadroTexto"/>
        <xdr:cNvSpPr txBox="1"/>
      </xdr:nvSpPr>
      <xdr:spPr>
        <a:xfrm>
          <a:off x="1427163" y="12068175"/>
          <a:ext cx="194454" cy="284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330"/>
    <xdr:sp macro="" textlink="">
      <xdr:nvSpPr>
        <xdr:cNvPr id="1117" name="518 CuadroTexto"/>
        <xdr:cNvSpPr txBox="1"/>
      </xdr:nvSpPr>
      <xdr:spPr>
        <a:xfrm>
          <a:off x="1427163" y="12068175"/>
          <a:ext cx="194454" cy="284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18" name="519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19" name="520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20" name="52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21" name="57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122" name="575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123" name="57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124" name="57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125" name="57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126" name="57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127" name="58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28" name="582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129" name="58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130" name="58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131" name="585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132" name="586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133" name="587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134" name="588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17"/>
    <xdr:sp macro="" textlink="">
      <xdr:nvSpPr>
        <xdr:cNvPr id="1135" name="589 CuadroTexto"/>
        <xdr:cNvSpPr txBox="1"/>
      </xdr:nvSpPr>
      <xdr:spPr>
        <a:xfrm>
          <a:off x="1427163" y="12068175"/>
          <a:ext cx="194454" cy="285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17"/>
    <xdr:sp macro="" textlink="">
      <xdr:nvSpPr>
        <xdr:cNvPr id="1136" name="590 CuadroTexto"/>
        <xdr:cNvSpPr txBox="1"/>
      </xdr:nvSpPr>
      <xdr:spPr>
        <a:xfrm>
          <a:off x="1427163" y="12068175"/>
          <a:ext cx="194454" cy="285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88"/>
    <xdr:sp macro="" textlink="">
      <xdr:nvSpPr>
        <xdr:cNvPr id="1137" name="591 CuadroTexto"/>
        <xdr:cNvSpPr txBox="1"/>
      </xdr:nvSpPr>
      <xdr:spPr>
        <a:xfrm>
          <a:off x="1427163" y="12068175"/>
          <a:ext cx="194454" cy="282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138" name="592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1139" name="595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1140" name="596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08"/>
    <xdr:sp macro="" textlink="">
      <xdr:nvSpPr>
        <xdr:cNvPr id="1141" name="597 CuadroTexto"/>
        <xdr:cNvSpPr txBox="1"/>
      </xdr:nvSpPr>
      <xdr:spPr>
        <a:xfrm>
          <a:off x="1427163" y="12068175"/>
          <a:ext cx="194454" cy="287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142" name="598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143" name="599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44" name="600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1145" name="601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1146" name="602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2387"/>
    <xdr:sp macro="" textlink="">
      <xdr:nvSpPr>
        <xdr:cNvPr id="1147" name="603 CuadroTexto"/>
        <xdr:cNvSpPr txBox="1"/>
      </xdr:nvSpPr>
      <xdr:spPr>
        <a:xfrm>
          <a:off x="1427163" y="109680375"/>
          <a:ext cx="194454" cy="29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48" name="60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49" name="60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50" name="606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51" name="607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52" name="608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53" name="609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88"/>
    <xdr:sp macro="" textlink="">
      <xdr:nvSpPr>
        <xdr:cNvPr id="1154" name="610 CuadroTexto"/>
        <xdr:cNvSpPr txBox="1"/>
      </xdr:nvSpPr>
      <xdr:spPr>
        <a:xfrm>
          <a:off x="1427163" y="12068175"/>
          <a:ext cx="194454" cy="282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8"/>
    <xdr:sp macro="" textlink="">
      <xdr:nvSpPr>
        <xdr:cNvPr id="1155" name="611 CuadroTexto"/>
        <xdr:cNvSpPr txBox="1"/>
      </xdr:nvSpPr>
      <xdr:spPr>
        <a:xfrm>
          <a:off x="1427163" y="12068175"/>
          <a:ext cx="194454" cy="284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56" name="61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157" name="61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58" name="61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59" name="615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160" name="616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61" name="617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62" name="618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63" name="619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62"/>
    <xdr:sp macro="" textlink="">
      <xdr:nvSpPr>
        <xdr:cNvPr id="1164" name="620 CuadroTexto"/>
        <xdr:cNvSpPr txBox="1"/>
      </xdr:nvSpPr>
      <xdr:spPr>
        <a:xfrm>
          <a:off x="1427163" y="12068175"/>
          <a:ext cx="194454" cy="28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65" name="621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66" name="622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67" name="623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68" name="624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1169" name="625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0" name="626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1" name="627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2" name="628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3" name="629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4" name="630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5" name="631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6" name="632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7" name="633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8" name="634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79" name="635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80" name="636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851"/>
    <xdr:sp macro="" textlink="">
      <xdr:nvSpPr>
        <xdr:cNvPr id="1181" name="637 CuadroTexto"/>
        <xdr:cNvSpPr txBox="1"/>
      </xdr:nvSpPr>
      <xdr:spPr>
        <a:xfrm>
          <a:off x="1427163" y="109680375"/>
          <a:ext cx="194454" cy="299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2" name="650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3" name="651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4" name="652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5" name="653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6" name="654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7" name="655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8" name="656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89" name="657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90" name="658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91" name="659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92" name="660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1432152</xdr:colOff>
      <xdr:row>437</xdr:row>
      <xdr:rowOff>0</xdr:rowOff>
    </xdr:from>
    <xdr:ext cx="184731" cy="298229"/>
    <xdr:sp macro="" textlink="">
      <xdr:nvSpPr>
        <xdr:cNvPr id="1193" name="661 CuadroTexto"/>
        <xdr:cNvSpPr txBox="1"/>
      </xdr:nvSpPr>
      <xdr:spPr>
        <a:xfrm>
          <a:off x="1432152" y="109680375"/>
          <a:ext cx="184731" cy="298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194" name="662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195" name="543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196" name="544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197" name="545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198" name="546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199" name="547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200" name="548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201" name="549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202" name="550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203" name="551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204" name="552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205" name="553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329"/>
    <xdr:sp macro="" textlink="">
      <xdr:nvSpPr>
        <xdr:cNvPr id="1206" name="554 CuadroTexto"/>
        <xdr:cNvSpPr txBox="1"/>
      </xdr:nvSpPr>
      <xdr:spPr>
        <a:xfrm>
          <a:off x="1427163" y="109680375"/>
          <a:ext cx="194454" cy="299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207" name="55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208" name="557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209" name="558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210" name="561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211" name="562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472"/>
    <xdr:sp macro="" textlink="">
      <xdr:nvSpPr>
        <xdr:cNvPr id="1212" name="566 CuadroTexto"/>
        <xdr:cNvSpPr txBox="1"/>
      </xdr:nvSpPr>
      <xdr:spPr>
        <a:xfrm>
          <a:off x="1427163" y="12068175"/>
          <a:ext cx="194454" cy="2854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1213" name="567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7"/>
    <xdr:sp macro="" textlink="">
      <xdr:nvSpPr>
        <xdr:cNvPr id="1214" name="568 CuadroTexto"/>
        <xdr:cNvSpPr txBox="1"/>
      </xdr:nvSpPr>
      <xdr:spPr>
        <a:xfrm>
          <a:off x="1427163" y="12068175"/>
          <a:ext cx="194454" cy="282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215" name="569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216" name="570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217" name="571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218" name="572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19" name="6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20" name="6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21" name="6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22" name="64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23" name="64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224" name="6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25" name="649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26" name="663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27" name="66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28" name="667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29" name="668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0" name="669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1" name="670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2" name="671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58"/>
    <xdr:sp macro="" textlink="">
      <xdr:nvSpPr>
        <xdr:cNvPr id="1233" name="672 CuadroTexto"/>
        <xdr:cNvSpPr txBox="1"/>
      </xdr:nvSpPr>
      <xdr:spPr>
        <a:xfrm>
          <a:off x="1427163" y="12068175"/>
          <a:ext cx="194454" cy="287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4" name="673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5" name="674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6" name="681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7" name="682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38" name="683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58"/>
    <xdr:sp macro="" textlink="">
      <xdr:nvSpPr>
        <xdr:cNvPr id="1239" name="684 CuadroTexto"/>
        <xdr:cNvSpPr txBox="1"/>
      </xdr:nvSpPr>
      <xdr:spPr>
        <a:xfrm>
          <a:off x="1427163" y="12068175"/>
          <a:ext cx="194454" cy="287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40" name="685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66"/>
    <xdr:sp macro="" textlink="">
      <xdr:nvSpPr>
        <xdr:cNvPr id="1241" name="686 CuadroTexto"/>
        <xdr:cNvSpPr txBox="1"/>
      </xdr:nvSpPr>
      <xdr:spPr>
        <a:xfrm>
          <a:off x="1427163" y="12068175"/>
          <a:ext cx="194454" cy="282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2" name="687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3" name="688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4" name="689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5" name="690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6" name="691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7" name="692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8" name="693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49" name="69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78"/>
    <xdr:sp macro="" textlink="">
      <xdr:nvSpPr>
        <xdr:cNvPr id="1250" name="695 CuadroTexto"/>
        <xdr:cNvSpPr txBox="1"/>
      </xdr:nvSpPr>
      <xdr:spPr>
        <a:xfrm>
          <a:off x="1427163" y="12068175"/>
          <a:ext cx="194454" cy="287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51" name="696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52" name="697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53" name="698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54" name="69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55" name="700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56" name="701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57" name="702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58" name="703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59" name="70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60" name="705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57"/>
    <xdr:sp macro="" textlink="">
      <xdr:nvSpPr>
        <xdr:cNvPr id="1261" name="706 CuadroTexto"/>
        <xdr:cNvSpPr txBox="1"/>
      </xdr:nvSpPr>
      <xdr:spPr>
        <a:xfrm>
          <a:off x="1427163" y="12068175"/>
          <a:ext cx="194454" cy="2888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62" name="707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63" name="708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82"/>
    <xdr:sp macro="" textlink="">
      <xdr:nvSpPr>
        <xdr:cNvPr id="1264" name="709 CuadroTexto"/>
        <xdr:cNvSpPr txBox="1"/>
      </xdr:nvSpPr>
      <xdr:spPr>
        <a:xfrm>
          <a:off x="1427163" y="12068175"/>
          <a:ext cx="194454" cy="282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82"/>
    <xdr:sp macro="" textlink="">
      <xdr:nvSpPr>
        <xdr:cNvPr id="1265" name="710 CuadroTexto"/>
        <xdr:cNvSpPr txBox="1"/>
      </xdr:nvSpPr>
      <xdr:spPr>
        <a:xfrm>
          <a:off x="1427163" y="12068175"/>
          <a:ext cx="194454" cy="282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66" name="717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67" name="718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68" name="719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57"/>
    <xdr:sp macro="" textlink="">
      <xdr:nvSpPr>
        <xdr:cNvPr id="1269" name="720 CuadroTexto"/>
        <xdr:cNvSpPr txBox="1"/>
      </xdr:nvSpPr>
      <xdr:spPr>
        <a:xfrm>
          <a:off x="1427163" y="12068175"/>
          <a:ext cx="194454" cy="2888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70" name="721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71" name="722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72" name="72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73" name="72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74" name="725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75" name="728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76" name="72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77" name="730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78" name="731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79" name="73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0" name="73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1" name="73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2" name="735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3" name="74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4" name="74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5" name="74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6" name="745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7" name="746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288" name="747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89" name="748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0" name="749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1" name="750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2" name="751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3" name="752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4" name="753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5" name="754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6" name="755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57"/>
    <xdr:sp macro="" textlink="">
      <xdr:nvSpPr>
        <xdr:cNvPr id="1297" name="756 CuadroTexto"/>
        <xdr:cNvSpPr txBox="1"/>
      </xdr:nvSpPr>
      <xdr:spPr>
        <a:xfrm>
          <a:off x="1427163" y="12068175"/>
          <a:ext cx="194454" cy="2888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7"/>
    <xdr:sp macro="" textlink="">
      <xdr:nvSpPr>
        <xdr:cNvPr id="1298" name="757 CuadroTexto"/>
        <xdr:cNvSpPr txBox="1"/>
      </xdr:nvSpPr>
      <xdr:spPr>
        <a:xfrm>
          <a:off x="1427163" y="12068175"/>
          <a:ext cx="194454" cy="287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88"/>
    <xdr:sp macro="" textlink="">
      <xdr:nvSpPr>
        <xdr:cNvPr id="1299" name="769 CuadroTexto"/>
        <xdr:cNvSpPr txBox="1"/>
      </xdr:nvSpPr>
      <xdr:spPr>
        <a:xfrm>
          <a:off x="1427163" y="12068175"/>
          <a:ext cx="194454" cy="2875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58"/>
    <xdr:sp macro="" textlink="">
      <xdr:nvSpPr>
        <xdr:cNvPr id="1300" name="770 CuadroTexto"/>
        <xdr:cNvSpPr txBox="1"/>
      </xdr:nvSpPr>
      <xdr:spPr>
        <a:xfrm>
          <a:off x="1427163" y="12068175"/>
          <a:ext cx="194454" cy="284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1301" name="771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1302" name="772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1303" name="773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1304" name="774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305" name="775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306" name="776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307" name="777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36"/>
    <xdr:sp macro="" textlink="">
      <xdr:nvSpPr>
        <xdr:cNvPr id="1308" name="778 CuadroTexto"/>
        <xdr:cNvSpPr txBox="1"/>
      </xdr:nvSpPr>
      <xdr:spPr>
        <a:xfrm>
          <a:off x="1427163" y="12068175"/>
          <a:ext cx="194454" cy="2823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11"/>
    <xdr:sp macro="" textlink="">
      <xdr:nvSpPr>
        <xdr:cNvPr id="1309" name="779 CuadroTexto"/>
        <xdr:cNvSpPr txBox="1"/>
      </xdr:nvSpPr>
      <xdr:spPr>
        <a:xfrm>
          <a:off x="1427163" y="12068175"/>
          <a:ext cx="194454" cy="289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310" name="780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311" name="781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312" name="782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313" name="783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14" name="78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15" name="785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16" name="786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17" name="787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318" name="788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19" name="789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320" name="790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321" name="79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322" name="792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23" name="79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24" name="79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325" name="795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326" name="796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327" name="797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328" name="79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329" name="79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330" name="80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331" name="801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1332" name="802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333" name="803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34" name="804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35" name="805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36" name="806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37" name="807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38" name="808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39" name="809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40" name="810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41" name="811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42" name="812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43" name="813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44" name="814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45" name="815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46" name="816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1347" name="817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48" name="818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349" name="819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88"/>
    <xdr:sp macro="" textlink="">
      <xdr:nvSpPr>
        <xdr:cNvPr id="1350" name="820 CuadroTexto"/>
        <xdr:cNvSpPr txBox="1"/>
      </xdr:nvSpPr>
      <xdr:spPr>
        <a:xfrm>
          <a:off x="1427163" y="12068175"/>
          <a:ext cx="194454" cy="2875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58"/>
    <xdr:sp macro="" textlink="">
      <xdr:nvSpPr>
        <xdr:cNvPr id="1351" name="821 CuadroTexto"/>
        <xdr:cNvSpPr txBox="1"/>
      </xdr:nvSpPr>
      <xdr:spPr>
        <a:xfrm>
          <a:off x="1427163" y="12068175"/>
          <a:ext cx="194454" cy="284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1352" name="822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1353" name="823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1354" name="824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1355" name="825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356" name="826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357" name="827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358" name="828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36"/>
    <xdr:sp macro="" textlink="">
      <xdr:nvSpPr>
        <xdr:cNvPr id="1359" name="829 CuadroTexto"/>
        <xdr:cNvSpPr txBox="1"/>
      </xdr:nvSpPr>
      <xdr:spPr>
        <a:xfrm>
          <a:off x="1427163" y="12068175"/>
          <a:ext cx="194454" cy="2823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11"/>
    <xdr:sp macro="" textlink="">
      <xdr:nvSpPr>
        <xdr:cNvPr id="1360" name="830 CuadroTexto"/>
        <xdr:cNvSpPr txBox="1"/>
      </xdr:nvSpPr>
      <xdr:spPr>
        <a:xfrm>
          <a:off x="1427163" y="12068175"/>
          <a:ext cx="194454" cy="289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361" name="831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362" name="832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363" name="833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364" name="834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65" name="835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66" name="836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67" name="837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368" name="838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1369" name="839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70" name="840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71" name="841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72" name="842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73" name="843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74" name="84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375" name="845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76" name="846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377" name="84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78" name="848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79" name="849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80" name="850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81" name="851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82" name="852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383" name="853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84" name="85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385" name="855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86" name="856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387" name="857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388" name="858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389" name="859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90" name="860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1391" name="861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392" name="862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393" name="863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394" name="864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395" name="86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396" name="86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397" name="86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398" name="868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399" name="869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400" name="870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01" name="87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02" name="872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03" name="876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04" name="87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05" name="880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06" name="881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07" name="882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08" name="883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09" name="885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10" name="886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11" name="889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12" name="890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13" name="891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14" name="892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588"/>
    <xdr:sp macro="" textlink="">
      <xdr:nvSpPr>
        <xdr:cNvPr id="1415" name="893 CuadroTexto"/>
        <xdr:cNvSpPr txBox="1"/>
      </xdr:nvSpPr>
      <xdr:spPr>
        <a:xfrm>
          <a:off x="1427163" y="12068175"/>
          <a:ext cx="194454" cy="2875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58"/>
    <xdr:sp macro="" textlink="">
      <xdr:nvSpPr>
        <xdr:cNvPr id="1416" name="894 CuadroTexto"/>
        <xdr:cNvSpPr txBox="1"/>
      </xdr:nvSpPr>
      <xdr:spPr>
        <a:xfrm>
          <a:off x="1427163" y="12068175"/>
          <a:ext cx="194454" cy="284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1417" name="895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50"/>
    <xdr:sp macro="" textlink="">
      <xdr:nvSpPr>
        <xdr:cNvPr id="1418" name="896 CuadroTexto"/>
        <xdr:cNvSpPr txBox="1"/>
      </xdr:nvSpPr>
      <xdr:spPr>
        <a:xfrm>
          <a:off x="1427163" y="12068175"/>
          <a:ext cx="194454" cy="28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1419" name="897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88"/>
    <xdr:sp macro="" textlink="">
      <xdr:nvSpPr>
        <xdr:cNvPr id="1420" name="898 CuadroTexto"/>
        <xdr:cNvSpPr txBox="1"/>
      </xdr:nvSpPr>
      <xdr:spPr>
        <a:xfrm>
          <a:off x="1427163" y="12068175"/>
          <a:ext cx="194454" cy="28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421" name="899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422" name="900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52"/>
    <xdr:sp macro="" textlink="">
      <xdr:nvSpPr>
        <xdr:cNvPr id="1423" name="901 CuadroTexto"/>
        <xdr:cNvSpPr txBox="1"/>
      </xdr:nvSpPr>
      <xdr:spPr>
        <a:xfrm>
          <a:off x="1427163" y="12068175"/>
          <a:ext cx="194454" cy="288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36"/>
    <xdr:sp macro="" textlink="">
      <xdr:nvSpPr>
        <xdr:cNvPr id="1424" name="902 CuadroTexto"/>
        <xdr:cNvSpPr txBox="1"/>
      </xdr:nvSpPr>
      <xdr:spPr>
        <a:xfrm>
          <a:off x="1427163" y="12068175"/>
          <a:ext cx="194454" cy="2823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11"/>
    <xdr:sp macro="" textlink="">
      <xdr:nvSpPr>
        <xdr:cNvPr id="1425" name="903 CuadroTexto"/>
        <xdr:cNvSpPr txBox="1"/>
      </xdr:nvSpPr>
      <xdr:spPr>
        <a:xfrm>
          <a:off x="1427163" y="12068175"/>
          <a:ext cx="194454" cy="289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426" name="904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427" name="905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428" name="906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316"/>
    <xdr:sp macro="" textlink="">
      <xdr:nvSpPr>
        <xdr:cNvPr id="1429" name="907 CuadroTexto"/>
        <xdr:cNvSpPr txBox="1"/>
      </xdr:nvSpPr>
      <xdr:spPr>
        <a:xfrm>
          <a:off x="1427163" y="12068175"/>
          <a:ext cx="194454" cy="282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30" name="908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31" name="909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32" name="910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433" name="911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1434" name="912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35" name="913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36" name="914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37" name="915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38" name="916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58"/>
    <xdr:sp macro="" textlink="">
      <xdr:nvSpPr>
        <xdr:cNvPr id="1439" name="917 CuadroTexto"/>
        <xdr:cNvSpPr txBox="1"/>
      </xdr:nvSpPr>
      <xdr:spPr>
        <a:xfrm>
          <a:off x="1427163" y="12068175"/>
          <a:ext cx="194454" cy="284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40" name="918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41" name="91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442" name="920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43" name="92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44" name="922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45" name="923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446" name="924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447" name="925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448" name="926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33"/>
    <xdr:sp macro="" textlink="">
      <xdr:nvSpPr>
        <xdr:cNvPr id="1449" name="927 CuadroTexto"/>
        <xdr:cNvSpPr txBox="1"/>
      </xdr:nvSpPr>
      <xdr:spPr>
        <a:xfrm>
          <a:off x="1427163" y="12068175"/>
          <a:ext cx="194454" cy="283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50" name="928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451" name="929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452" name="930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453" name="931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454" name="932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79"/>
    <xdr:sp macro="" textlink="">
      <xdr:nvSpPr>
        <xdr:cNvPr id="1455" name="933 CuadroTexto"/>
        <xdr:cNvSpPr txBox="1"/>
      </xdr:nvSpPr>
      <xdr:spPr>
        <a:xfrm>
          <a:off x="1427163" y="12068175"/>
          <a:ext cx="194454" cy="284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56" name="934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48"/>
    <xdr:sp macro="" textlink="">
      <xdr:nvSpPr>
        <xdr:cNvPr id="1457" name="935 CuadroTexto"/>
        <xdr:cNvSpPr txBox="1"/>
      </xdr:nvSpPr>
      <xdr:spPr>
        <a:xfrm>
          <a:off x="1427163" y="12068175"/>
          <a:ext cx="194454" cy="2824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58" name="936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02"/>
    <xdr:sp macro="" textlink="">
      <xdr:nvSpPr>
        <xdr:cNvPr id="1459" name="937 CuadroTexto"/>
        <xdr:cNvSpPr txBox="1"/>
      </xdr:nvSpPr>
      <xdr:spPr>
        <a:xfrm>
          <a:off x="1427163" y="12068175"/>
          <a:ext cx="194454" cy="282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460" name="93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461" name="93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462" name="94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463" name="94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703"/>
    <xdr:sp macro="" textlink="">
      <xdr:nvSpPr>
        <xdr:cNvPr id="1464" name="942 CuadroTexto"/>
        <xdr:cNvSpPr txBox="1"/>
      </xdr:nvSpPr>
      <xdr:spPr>
        <a:xfrm>
          <a:off x="1427163" y="109680375"/>
          <a:ext cx="194454" cy="294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465" name="943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1466" name="944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67" name="945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68" name="946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69" name="95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70" name="95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71" name="95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72" name="955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73" name="956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74" name="957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75" name="95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476" name="96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77" name="963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78" name="964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79" name="965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267"/>
    <xdr:sp macro="" textlink="">
      <xdr:nvSpPr>
        <xdr:cNvPr id="1480" name="966 CuadroTexto"/>
        <xdr:cNvSpPr txBox="1"/>
      </xdr:nvSpPr>
      <xdr:spPr>
        <a:xfrm>
          <a:off x="1427163" y="12068175"/>
          <a:ext cx="194454" cy="284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1" name="967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2" name="968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3" name="969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4" name="970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5" name="971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6" name="972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7" name="973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8" name="974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89" name="975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90" name="976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91" name="977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183"/>
    <xdr:sp macro="" textlink="">
      <xdr:nvSpPr>
        <xdr:cNvPr id="1492" name="978 CuadroTexto"/>
        <xdr:cNvSpPr txBox="1"/>
      </xdr:nvSpPr>
      <xdr:spPr>
        <a:xfrm>
          <a:off x="1427163" y="109680375"/>
          <a:ext cx="194454" cy="2961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493" name="97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494" name="98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495" name="98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496" name="982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497" name="98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498" name="98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499" name="98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0" name="98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1" name="98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0"/>
    <xdr:sp macro="" textlink="">
      <xdr:nvSpPr>
        <xdr:cNvPr id="1502" name="988 CuadroTexto"/>
        <xdr:cNvSpPr txBox="1"/>
      </xdr:nvSpPr>
      <xdr:spPr>
        <a:xfrm>
          <a:off x="1427163" y="109680375"/>
          <a:ext cx="194454" cy="29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3" name="98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4" name="99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5" name="99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6" name="99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7" name="99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0"/>
    <xdr:sp macro="" textlink="">
      <xdr:nvSpPr>
        <xdr:cNvPr id="1508" name="1000 CuadroTexto"/>
        <xdr:cNvSpPr txBox="1"/>
      </xdr:nvSpPr>
      <xdr:spPr>
        <a:xfrm>
          <a:off x="1427163" y="109680375"/>
          <a:ext cx="194454" cy="29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09" name="100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0" name="1002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1" name="100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2" name="100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3" name="100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4" name="100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5" name="100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6" name="100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7" name="100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8" name="101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19" name="101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0"/>
    <xdr:sp macro="" textlink="">
      <xdr:nvSpPr>
        <xdr:cNvPr id="1520" name="1012 CuadroTexto"/>
        <xdr:cNvSpPr txBox="1"/>
      </xdr:nvSpPr>
      <xdr:spPr>
        <a:xfrm>
          <a:off x="1427163" y="109680375"/>
          <a:ext cx="194454" cy="29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1" name="101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2" name="101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3" name="101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4" name="101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5" name="102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6" name="102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7" name="102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0"/>
    <xdr:sp macro="" textlink="">
      <xdr:nvSpPr>
        <xdr:cNvPr id="1528" name="1026 CuadroTexto"/>
        <xdr:cNvSpPr txBox="1"/>
      </xdr:nvSpPr>
      <xdr:spPr>
        <a:xfrm>
          <a:off x="1427163" y="109680375"/>
          <a:ext cx="194454" cy="29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29" name="102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0" name="102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1" name="102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2" name="103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3" name="103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4" name="103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5" name="103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6" name="103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7" name="103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38" name="103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0"/>
    <xdr:sp macro="" textlink="">
      <xdr:nvSpPr>
        <xdr:cNvPr id="1539" name="1039 CuadroTexto"/>
        <xdr:cNvSpPr txBox="1"/>
      </xdr:nvSpPr>
      <xdr:spPr>
        <a:xfrm>
          <a:off x="1427163" y="109680375"/>
          <a:ext cx="194454" cy="29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0" name="104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1" name="104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2" name="104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3" name="104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4" name="105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0"/>
    <xdr:sp macro="" textlink="">
      <xdr:nvSpPr>
        <xdr:cNvPr id="1545" name="1051 CuadroTexto"/>
        <xdr:cNvSpPr txBox="1"/>
      </xdr:nvSpPr>
      <xdr:spPr>
        <a:xfrm>
          <a:off x="1427163" y="109680375"/>
          <a:ext cx="194454" cy="29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6" name="1052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7" name="105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8" name="105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49" name="105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50" name="105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51" name="105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52" name="105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53" name="105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54" name="106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55" name="106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0"/>
    <xdr:sp macro="" textlink="">
      <xdr:nvSpPr>
        <xdr:cNvPr id="1556" name="1062 CuadroTexto"/>
        <xdr:cNvSpPr txBox="1"/>
      </xdr:nvSpPr>
      <xdr:spPr>
        <a:xfrm>
          <a:off x="1427163" y="109680375"/>
          <a:ext cx="194454" cy="29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57" name="106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58" name="1064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59" name="1065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60" name="106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61" name="106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62" name="1068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63" name="1069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64" name="1070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65" name="1071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66" name="1072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67" name="107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68" name="107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69" name="107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70" name="1082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71" name="1083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72" name="1084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73" name="108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74" name="108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75" name="108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76" name="108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77" name="108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78" name="1090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79" name="1091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0" name="1092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1" name="109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2" name="109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3" name="109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4" name="109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5" name="109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6" name="109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7" name="109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8" name="110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89" name="110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90" name="110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91" name="110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92" name="111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93" name="111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94" name="1112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95" name="111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96" name="1114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97" name="1115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598" name="111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599" name="1119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0" name="1120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1" name="1121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2" name="1122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3" name="1123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04" name="112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5" name="1125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6" name="1126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7" name="1133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8" name="1134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09" name="1135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0" name="113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11" name="1137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9555"/>
    <xdr:sp macro="" textlink="">
      <xdr:nvSpPr>
        <xdr:cNvPr id="1612" name="1138 CuadroTexto"/>
        <xdr:cNvSpPr txBox="1"/>
      </xdr:nvSpPr>
      <xdr:spPr>
        <a:xfrm>
          <a:off x="1427163" y="109680375"/>
          <a:ext cx="194454" cy="29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3" name="1139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4" name="1140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5" name="1141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6" name="1142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7" name="1143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8" name="1144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19" name="1145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20" name="1146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21" name="1147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5913"/>
    <xdr:sp macro="" textlink="">
      <xdr:nvSpPr>
        <xdr:cNvPr id="1622" name="1148 CuadroTexto"/>
        <xdr:cNvSpPr txBox="1"/>
      </xdr:nvSpPr>
      <xdr:spPr>
        <a:xfrm>
          <a:off x="1427163" y="109680375"/>
          <a:ext cx="194454" cy="29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623" name="1175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624" name="1176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625" name="1177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98"/>
    <xdr:sp macro="" textlink="">
      <xdr:nvSpPr>
        <xdr:cNvPr id="1626" name="1178 CuadroTexto"/>
        <xdr:cNvSpPr txBox="1"/>
      </xdr:nvSpPr>
      <xdr:spPr>
        <a:xfrm>
          <a:off x="1427163" y="12068175"/>
          <a:ext cx="194454" cy="282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27" name="1182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1628" name="1183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29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30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31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32" name="11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33" name="11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34" name="1191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35" name="1192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36" name="1193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37" name="119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38" name="119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39" name="119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40" name="119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1" name="1198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2" name="1199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3" name="1200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4" name="1201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5" name="1202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6" name="1203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7" name="1204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8" name="1205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7"/>
    <xdr:sp macro="" textlink="">
      <xdr:nvSpPr>
        <xdr:cNvPr id="1649" name="1206 CuadroTexto"/>
        <xdr:cNvSpPr txBox="1"/>
      </xdr:nvSpPr>
      <xdr:spPr>
        <a:xfrm>
          <a:off x="1427163" y="12068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0" name="121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1" name="121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2" name="121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3" name="121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4" name="130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5" name="130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6" name="131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7" name="131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8" name="131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59" name="131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60" name="131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61" name="1315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62" name="1316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63" name="1317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64" name="1318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65" name="131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1666" name="28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1667" name="802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1668" name="839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1669" name="912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0" name="121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1" name="121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2" name="121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3" name="121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4" name="18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5" name="779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6" name="830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7" name="90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8" name="171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79" name="172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80" name="173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836"/>
    <xdr:sp macro="" textlink="">
      <xdr:nvSpPr>
        <xdr:cNvPr id="1681" name="174 CuadroTexto"/>
        <xdr:cNvSpPr txBox="1"/>
      </xdr:nvSpPr>
      <xdr:spPr>
        <a:xfrm>
          <a:off x="1427163" y="12068175"/>
          <a:ext cx="194454" cy="287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2" name="5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3" name="575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4" name="780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5" name="790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6" name="831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7" name="863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8" name="904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277"/>
    <xdr:sp macro="" textlink="">
      <xdr:nvSpPr>
        <xdr:cNvPr id="1689" name="937 CuadroTexto"/>
        <xdr:cNvSpPr txBox="1"/>
      </xdr:nvSpPr>
      <xdr:spPr>
        <a:xfrm>
          <a:off x="1427163" y="12068175"/>
          <a:ext cx="194454" cy="287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690" name="186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691" name="190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692" name="191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693" name="192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694" name="193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95" name="49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96" name="5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97" name="5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98" name="5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699" name="60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00" name="6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01" name="6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02" name="61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03" name="811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04" name="812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05" name="813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06" name="814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07" name="815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08" name="846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09" name="850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10" name="851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11" name="852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12" name="853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13" name="8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14" name="8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15" name="8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16" name="8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17" name="8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18" name="8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19" name="89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20" name="89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21" name="920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22" name="924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23" name="925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24" name="926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32"/>
    <xdr:sp macro="" textlink="">
      <xdr:nvSpPr>
        <xdr:cNvPr id="1725" name="927 CuadroTexto"/>
        <xdr:cNvSpPr txBox="1"/>
      </xdr:nvSpPr>
      <xdr:spPr>
        <a:xfrm>
          <a:off x="1427163" y="12068175"/>
          <a:ext cx="194454" cy="282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26" name="9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27" name="9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28" name="9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29" name="9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0" name="9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1" name="9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2" name="9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3" name="9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4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5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6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7" name="11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8" name="11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39" name="173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40" name="17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41" name="17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742" name="17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90"/>
    <xdr:sp macro="" textlink="">
      <xdr:nvSpPr>
        <xdr:cNvPr id="1743" name="1742 CuadroTexto"/>
        <xdr:cNvSpPr txBox="1"/>
      </xdr:nvSpPr>
      <xdr:spPr>
        <a:xfrm>
          <a:off x="1427163" y="12068175"/>
          <a:ext cx="194454" cy="283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90"/>
    <xdr:sp macro="" textlink="">
      <xdr:nvSpPr>
        <xdr:cNvPr id="1744" name="1743 CuadroTexto"/>
        <xdr:cNvSpPr txBox="1"/>
      </xdr:nvSpPr>
      <xdr:spPr>
        <a:xfrm>
          <a:off x="1427163" y="12068175"/>
          <a:ext cx="194454" cy="283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90"/>
    <xdr:sp macro="" textlink="">
      <xdr:nvSpPr>
        <xdr:cNvPr id="1745" name="1744 CuadroTexto"/>
        <xdr:cNvSpPr txBox="1"/>
      </xdr:nvSpPr>
      <xdr:spPr>
        <a:xfrm>
          <a:off x="1427163" y="12068175"/>
          <a:ext cx="194454" cy="283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90"/>
    <xdr:sp macro="" textlink="">
      <xdr:nvSpPr>
        <xdr:cNvPr id="1746" name="1745 CuadroTexto"/>
        <xdr:cNvSpPr txBox="1"/>
      </xdr:nvSpPr>
      <xdr:spPr>
        <a:xfrm>
          <a:off x="1427163" y="12068175"/>
          <a:ext cx="194454" cy="283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90"/>
    <xdr:sp macro="" textlink="">
      <xdr:nvSpPr>
        <xdr:cNvPr id="1747" name="1746 CuadroTexto"/>
        <xdr:cNvSpPr txBox="1"/>
      </xdr:nvSpPr>
      <xdr:spPr>
        <a:xfrm>
          <a:off x="1427163" y="12068175"/>
          <a:ext cx="194454" cy="283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90"/>
    <xdr:sp macro="" textlink="">
      <xdr:nvSpPr>
        <xdr:cNvPr id="1748" name="1747 CuadroTexto"/>
        <xdr:cNvSpPr txBox="1"/>
      </xdr:nvSpPr>
      <xdr:spPr>
        <a:xfrm>
          <a:off x="1427163" y="12068175"/>
          <a:ext cx="194454" cy="283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49" name="174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50" name="1749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51" name="175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52" name="175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53" name="175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54" name="175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55" name="1754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56" name="1755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57" name="1756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58" name="1757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59" name="1758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60" name="1759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1" name="176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2" name="176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3" name="176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4" name="176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5" name="1764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6" name="1765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7" name="1766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8" name="1767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69" name="176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70" name="1769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71" name="1770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72" name="1771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73" name="1772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74" name="1773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75" name="1774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76" name="1775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77" name="1776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78" name="1777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79" name="177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80" name="1779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81" name="178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82" name="178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83" name="178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84" name="1783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85" name="1784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86" name="1785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87" name="1786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88" name="1787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89" name="1788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0" name="1789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1" name="1790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2" name="1791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3" name="179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4" name="179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5" name="1794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6" name="1795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797" name="1796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98" name="1797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799" name="1798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800" name="1799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801" name="1800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41"/>
    <xdr:sp macro="" textlink="">
      <xdr:nvSpPr>
        <xdr:cNvPr id="1802" name="1801 CuadroTexto"/>
        <xdr:cNvSpPr txBox="1"/>
      </xdr:nvSpPr>
      <xdr:spPr>
        <a:xfrm>
          <a:off x="1427163" y="12068175"/>
          <a:ext cx="194454" cy="28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803" name="1802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172"/>
    <xdr:sp macro="" textlink="">
      <xdr:nvSpPr>
        <xdr:cNvPr id="1804" name="1803 CuadroTexto"/>
        <xdr:cNvSpPr txBox="1"/>
      </xdr:nvSpPr>
      <xdr:spPr>
        <a:xfrm>
          <a:off x="1427163" y="12068175"/>
          <a:ext cx="194454" cy="28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05" name="1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06" name="2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07" name="48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08" name="49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09" name="58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0" name="87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1" name="872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2" name="876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3" name="877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4" name="885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5" name="945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6" name="946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7" name="95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8" name="951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19" name="959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0" name="1819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1" name="1820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2" name="1821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3" name="1822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4" name="1823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5" name="1824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6" name="1825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7" name="1826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8" name="1827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29" name="1828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30" name="1829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831" name="1830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32" name="183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33" name="1832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34" name="183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35" name="183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36" name="183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37" name="183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38" name="183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39" name="183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0" name="183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1" name="184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2" name="184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43" name="1842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4" name="184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45" name="1844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6" name="184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7" name="184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8" name="184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49" name="184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0" name="184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1357313</xdr:colOff>
      <xdr:row>4</xdr:row>
      <xdr:rowOff>0</xdr:rowOff>
    </xdr:from>
    <xdr:ext cx="194458" cy="475908"/>
    <xdr:sp macro="" textlink="">
      <xdr:nvSpPr>
        <xdr:cNvPr id="1851" name="1850 CuadroTexto"/>
        <xdr:cNvSpPr txBox="1"/>
      </xdr:nvSpPr>
      <xdr:spPr>
        <a:xfrm>
          <a:off x="1357313" y="1647825"/>
          <a:ext cx="194458" cy="475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2" name="185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3" name="185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4" name="185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5" name="185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6" name="57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7" name="57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8" name="57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59" name="79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0" name="79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1" name="80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2" name="86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3" name="86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4" name="86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5" name="93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6" name="94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867" name="94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68" name="2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69" name="25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0" name="26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1" name="326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2" name="327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3" name="328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4" name="32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5" name="330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6" name="331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7" name="33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8" name="33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79" name="34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0" name="34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1" name="34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2" name="345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3" name="346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4" name="347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5" name="348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6" name="34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7" name="35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8" name="35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89" name="48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0" name="48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1" name="48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2" name="50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3" name="58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4" name="58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5" name="66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6" name="687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7" name="688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8" name="689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899" name="690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900" name="691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901" name="692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902" name="693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903" name="694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904" name="695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633"/>
    <xdr:sp macro="" textlink="">
      <xdr:nvSpPr>
        <xdr:cNvPr id="1905" name="696 CuadroTexto"/>
        <xdr:cNvSpPr txBox="1"/>
      </xdr:nvSpPr>
      <xdr:spPr>
        <a:xfrm>
          <a:off x="1427163" y="12068175"/>
          <a:ext cx="194454" cy="286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06" name="190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07" name="190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08" name="19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09" name="19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0" name="190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1" name="191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2" name="191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6"/>
    <xdr:sp macro="" textlink="">
      <xdr:nvSpPr>
        <xdr:cNvPr id="1913" name="1912 CuadroTexto"/>
        <xdr:cNvSpPr txBox="1"/>
      </xdr:nvSpPr>
      <xdr:spPr>
        <a:xfrm>
          <a:off x="1427163" y="1206817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4" name="191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5" name="191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6" name="191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7" name="191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8" name="191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19" name="191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20" name="191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6"/>
    <xdr:sp macro="" textlink="">
      <xdr:nvSpPr>
        <xdr:cNvPr id="1921" name="1920 CuadroTexto"/>
        <xdr:cNvSpPr txBox="1"/>
      </xdr:nvSpPr>
      <xdr:spPr>
        <a:xfrm>
          <a:off x="1427163" y="1206817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22" name="192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23" name="192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24" name="192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6"/>
    <xdr:sp macro="" textlink="">
      <xdr:nvSpPr>
        <xdr:cNvPr id="1925" name="1924 CuadroTexto"/>
        <xdr:cNvSpPr txBox="1"/>
      </xdr:nvSpPr>
      <xdr:spPr>
        <a:xfrm>
          <a:off x="1427163" y="1206817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26" name="192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27" name="192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1928" name="192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6"/>
    <xdr:sp macro="" textlink="">
      <xdr:nvSpPr>
        <xdr:cNvPr id="1929" name="1928 CuadroTexto"/>
        <xdr:cNvSpPr txBox="1"/>
      </xdr:nvSpPr>
      <xdr:spPr>
        <a:xfrm>
          <a:off x="1427163" y="1206817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0" name="1929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1" name="1930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2" name="1931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3" name="1932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4" name="1933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5" name="1934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6" name="1935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7" name="1936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8" name="1937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39" name="1938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40" name="1939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458"/>
    <xdr:sp macro="" textlink="">
      <xdr:nvSpPr>
        <xdr:cNvPr id="1941" name="1940 CuadroTexto"/>
        <xdr:cNvSpPr txBox="1"/>
      </xdr:nvSpPr>
      <xdr:spPr>
        <a:xfrm>
          <a:off x="1427163" y="1647825"/>
          <a:ext cx="194454" cy="28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762"/>
    <xdr:sp macro="" textlink="">
      <xdr:nvSpPr>
        <xdr:cNvPr id="1942" name="171 CuadroTexto"/>
        <xdr:cNvSpPr txBox="1"/>
      </xdr:nvSpPr>
      <xdr:spPr>
        <a:xfrm>
          <a:off x="1427163" y="12068175"/>
          <a:ext cx="194454" cy="282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762"/>
    <xdr:sp macro="" textlink="">
      <xdr:nvSpPr>
        <xdr:cNvPr id="1943" name="172 CuadroTexto"/>
        <xdr:cNvSpPr txBox="1"/>
      </xdr:nvSpPr>
      <xdr:spPr>
        <a:xfrm>
          <a:off x="1427163" y="12068175"/>
          <a:ext cx="194454" cy="282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762"/>
    <xdr:sp macro="" textlink="">
      <xdr:nvSpPr>
        <xdr:cNvPr id="1944" name="173 CuadroTexto"/>
        <xdr:cNvSpPr txBox="1"/>
      </xdr:nvSpPr>
      <xdr:spPr>
        <a:xfrm>
          <a:off x="1427163" y="12068175"/>
          <a:ext cx="194454" cy="282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762"/>
    <xdr:sp macro="" textlink="">
      <xdr:nvSpPr>
        <xdr:cNvPr id="1945" name="174 CuadroTexto"/>
        <xdr:cNvSpPr txBox="1"/>
      </xdr:nvSpPr>
      <xdr:spPr>
        <a:xfrm>
          <a:off x="1427163" y="12068175"/>
          <a:ext cx="194454" cy="282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646"/>
    <xdr:sp macro="" textlink="">
      <xdr:nvSpPr>
        <xdr:cNvPr id="1946" name="36 CuadroTexto"/>
        <xdr:cNvSpPr txBox="1"/>
      </xdr:nvSpPr>
      <xdr:spPr>
        <a:xfrm>
          <a:off x="1427163" y="109680375"/>
          <a:ext cx="194454" cy="296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646"/>
    <xdr:sp macro="" textlink="">
      <xdr:nvSpPr>
        <xdr:cNvPr id="1947" name="37 CuadroTexto"/>
        <xdr:cNvSpPr txBox="1"/>
      </xdr:nvSpPr>
      <xdr:spPr>
        <a:xfrm>
          <a:off x="1427163" y="109680375"/>
          <a:ext cx="194454" cy="296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646"/>
    <xdr:sp macro="" textlink="">
      <xdr:nvSpPr>
        <xdr:cNvPr id="1948" name="38 CuadroTexto"/>
        <xdr:cNvSpPr txBox="1"/>
      </xdr:nvSpPr>
      <xdr:spPr>
        <a:xfrm>
          <a:off x="1427163" y="109680375"/>
          <a:ext cx="194454" cy="296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646"/>
    <xdr:sp macro="" textlink="">
      <xdr:nvSpPr>
        <xdr:cNvPr id="1949" name="81 CuadroTexto"/>
        <xdr:cNvSpPr txBox="1"/>
      </xdr:nvSpPr>
      <xdr:spPr>
        <a:xfrm>
          <a:off x="1427163" y="109680375"/>
          <a:ext cx="194454" cy="296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646"/>
    <xdr:sp macro="" textlink="">
      <xdr:nvSpPr>
        <xdr:cNvPr id="1950" name="591 CuadroTexto"/>
        <xdr:cNvSpPr txBox="1"/>
      </xdr:nvSpPr>
      <xdr:spPr>
        <a:xfrm>
          <a:off x="1427163" y="109680375"/>
          <a:ext cx="194454" cy="296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6646"/>
    <xdr:sp macro="" textlink="">
      <xdr:nvSpPr>
        <xdr:cNvPr id="1951" name="610 CuadroTexto"/>
        <xdr:cNvSpPr txBox="1"/>
      </xdr:nvSpPr>
      <xdr:spPr>
        <a:xfrm>
          <a:off x="1427163" y="109680375"/>
          <a:ext cx="194454" cy="2966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2" name="1951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3" name="1952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4" name="1953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5" name="1954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6" name="1955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7" name="1956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8" name="1957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59" name="1958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0" name="1959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1" name="1960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2" name="1961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3" name="1962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4" name="1963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5" name="1964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6" name="1965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7" name="1966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8" name="1967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69" name="1968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70" name="1969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71" name="1970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72" name="1971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73" name="1972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74" name="1973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3"/>
    <xdr:sp macro="" textlink="">
      <xdr:nvSpPr>
        <xdr:cNvPr id="1975" name="1974 CuadroTexto"/>
        <xdr:cNvSpPr txBox="1"/>
      </xdr:nvSpPr>
      <xdr:spPr>
        <a:xfrm>
          <a:off x="1427163" y="12068175"/>
          <a:ext cx="194454" cy="287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76" name="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77" name="1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78" name="1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79" name="4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0" name="5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1" name="7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2" name="7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3" name="7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4" name="7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5" name="7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6" name="8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7" name="8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8" name="8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89" name="8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90" name="86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91" name="9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92" name="92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93" name="9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94" name="9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1995" name="93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1996" name="1995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1997" name="1996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1998" name="1997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1999" name="1998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0" name="1999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1" name="2000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2" name="2001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3" name="2002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4" name="2003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5" name="2004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6" name="2005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7" name="2006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8" name="2007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09" name="2008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10" name="2009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11" name="2010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12" name="2011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13" name="2012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14" name="2013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3"/>
    <xdr:sp macro="" textlink="">
      <xdr:nvSpPr>
        <xdr:cNvPr id="2015" name="2014 CuadroTexto"/>
        <xdr:cNvSpPr txBox="1"/>
      </xdr:nvSpPr>
      <xdr:spPr>
        <a:xfrm>
          <a:off x="1427163" y="12068175"/>
          <a:ext cx="194454" cy="284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12"/>
    <xdr:sp macro="" textlink="">
      <xdr:nvSpPr>
        <xdr:cNvPr id="2016" name="2015 CuadroTexto"/>
        <xdr:cNvSpPr txBox="1"/>
      </xdr:nvSpPr>
      <xdr:spPr>
        <a:xfrm>
          <a:off x="1427163" y="12068175"/>
          <a:ext cx="194454" cy="288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38"/>
    <xdr:sp macro="" textlink="">
      <xdr:nvSpPr>
        <xdr:cNvPr id="2017" name="2016 CuadroTexto"/>
        <xdr:cNvSpPr txBox="1"/>
      </xdr:nvSpPr>
      <xdr:spPr>
        <a:xfrm>
          <a:off x="1427163" y="12068175"/>
          <a:ext cx="194454" cy="288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38"/>
    <xdr:sp macro="" textlink="">
      <xdr:nvSpPr>
        <xdr:cNvPr id="2018" name="2017 CuadroTexto"/>
        <xdr:cNvSpPr txBox="1"/>
      </xdr:nvSpPr>
      <xdr:spPr>
        <a:xfrm>
          <a:off x="1427163" y="12068175"/>
          <a:ext cx="194454" cy="288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38"/>
    <xdr:sp macro="" textlink="">
      <xdr:nvSpPr>
        <xdr:cNvPr id="2019" name="2018 CuadroTexto"/>
        <xdr:cNvSpPr txBox="1"/>
      </xdr:nvSpPr>
      <xdr:spPr>
        <a:xfrm>
          <a:off x="1427163" y="12068175"/>
          <a:ext cx="194454" cy="288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38"/>
    <xdr:sp macro="" textlink="">
      <xdr:nvSpPr>
        <xdr:cNvPr id="2020" name="2019 CuadroTexto"/>
        <xdr:cNvSpPr txBox="1"/>
      </xdr:nvSpPr>
      <xdr:spPr>
        <a:xfrm>
          <a:off x="1427163" y="12068175"/>
          <a:ext cx="194454" cy="288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38"/>
    <xdr:sp macro="" textlink="">
      <xdr:nvSpPr>
        <xdr:cNvPr id="2021" name="2020 CuadroTexto"/>
        <xdr:cNvSpPr txBox="1"/>
      </xdr:nvSpPr>
      <xdr:spPr>
        <a:xfrm>
          <a:off x="1427163" y="12068175"/>
          <a:ext cx="194454" cy="288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738"/>
    <xdr:sp macro="" textlink="">
      <xdr:nvSpPr>
        <xdr:cNvPr id="2022" name="2021 CuadroTexto"/>
        <xdr:cNvSpPr txBox="1"/>
      </xdr:nvSpPr>
      <xdr:spPr>
        <a:xfrm>
          <a:off x="1427163" y="12068175"/>
          <a:ext cx="194454" cy="288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12"/>
    <xdr:sp macro="" textlink="">
      <xdr:nvSpPr>
        <xdr:cNvPr id="2023" name="2022 CuadroTexto"/>
        <xdr:cNvSpPr txBox="1"/>
      </xdr:nvSpPr>
      <xdr:spPr>
        <a:xfrm>
          <a:off x="1427163" y="12068175"/>
          <a:ext cx="194454" cy="288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12"/>
    <xdr:sp macro="" textlink="">
      <xdr:nvSpPr>
        <xdr:cNvPr id="2024" name="2023 CuadroTexto"/>
        <xdr:cNvSpPr txBox="1"/>
      </xdr:nvSpPr>
      <xdr:spPr>
        <a:xfrm>
          <a:off x="1427163" y="12068175"/>
          <a:ext cx="194454" cy="288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25" name="2024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38"/>
    <xdr:sp macro="" textlink="">
      <xdr:nvSpPr>
        <xdr:cNvPr id="2026" name="2025 CuadroTexto"/>
        <xdr:cNvSpPr txBox="1"/>
      </xdr:nvSpPr>
      <xdr:spPr>
        <a:xfrm>
          <a:off x="1427163" y="12068175"/>
          <a:ext cx="194454" cy="282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2027" name="2026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2028" name="2027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2029" name="2028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30" name="2029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38"/>
    <xdr:sp macro="" textlink="">
      <xdr:nvSpPr>
        <xdr:cNvPr id="2031" name="2030 CuadroTexto"/>
        <xdr:cNvSpPr txBox="1"/>
      </xdr:nvSpPr>
      <xdr:spPr>
        <a:xfrm>
          <a:off x="1427163" y="12068175"/>
          <a:ext cx="194454" cy="282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2032" name="2031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33" name="2032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38"/>
    <xdr:sp macro="" textlink="">
      <xdr:nvSpPr>
        <xdr:cNvPr id="2034" name="2033 CuadroTexto"/>
        <xdr:cNvSpPr txBox="1"/>
      </xdr:nvSpPr>
      <xdr:spPr>
        <a:xfrm>
          <a:off x="1427163" y="12068175"/>
          <a:ext cx="194454" cy="282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2035" name="2034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2036" name="2035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37" name="2036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38"/>
    <xdr:sp macro="" textlink="">
      <xdr:nvSpPr>
        <xdr:cNvPr id="2038" name="2037 CuadroTexto"/>
        <xdr:cNvSpPr txBox="1"/>
      </xdr:nvSpPr>
      <xdr:spPr>
        <a:xfrm>
          <a:off x="1427163" y="12068175"/>
          <a:ext cx="194454" cy="282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128"/>
    <xdr:sp macro="" textlink="">
      <xdr:nvSpPr>
        <xdr:cNvPr id="2039" name="2038 CuadroTexto"/>
        <xdr:cNvSpPr txBox="1"/>
      </xdr:nvSpPr>
      <xdr:spPr>
        <a:xfrm>
          <a:off x="1427163" y="12068175"/>
          <a:ext cx="194454" cy="282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0" name="2039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1" name="2040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2" name="2041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3" name="2042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4" name="2043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5" name="2044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6" name="2045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97"/>
    <xdr:sp macro="" textlink="">
      <xdr:nvSpPr>
        <xdr:cNvPr id="2047" name="2046 CuadroTexto"/>
        <xdr:cNvSpPr txBox="1"/>
      </xdr:nvSpPr>
      <xdr:spPr>
        <a:xfrm>
          <a:off x="1427163" y="12068175"/>
          <a:ext cx="194454" cy="285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1360488</xdr:colOff>
      <xdr:row>33</xdr:row>
      <xdr:rowOff>0</xdr:rowOff>
    </xdr:from>
    <xdr:ext cx="194453" cy="475445"/>
    <xdr:sp macro="" textlink="">
      <xdr:nvSpPr>
        <xdr:cNvPr id="2048" name="2047 CuadroTexto"/>
        <xdr:cNvSpPr txBox="1"/>
      </xdr:nvSpPr>
      <xdr:spPr>
        <a:xfrm>
          <a:off x="1360488" y="12068175"/>
          <a:ext cx="194453" cy="475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  <a:p>
          <a:endParaRPr lang="es-ES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49" name="1320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0" name="1321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1" name="1322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2" name="1323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3" name="1324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4" name="1325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5" name="1326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6" name="1327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2057" name="1328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58" name="2057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59" name="2058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60" name="2059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2061" name="2060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12"/>
    <xdr:sp macro="" textlink="">
      <xdr:nvSpPr>
        <xdr:cNvPr id="2062" name="2061 CuadroTexto"/>
        <xdr:cNvSpPr txBox="1"/>
      </xdr:nvSpPr>
      <xdr:spPr>
        <a:xfrm>
          <a:off x="1427163" y="12068175"/>
          <a:ext cx="194454" cy="288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12"/>
    <xdr:sp macro="" textlink="">
      <xdr:nvSpPr>
        <xdr:cNvPr id="2063" name="2062 CuadroTexto"/>
        <xdr:cNvSpPr txBox="1"/>
      </xdr:nvSpPr>
      <xdr:spPr>
        <a:xfrm>
          <a:off x="1427163" y="12068175"/>
          <a:ext cx="194454" cy="288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012"/>
    <xdr:sp macro="" textlink="">
      <xdr:nvSpPr>
        <xdr:cNvPr id="2064" name="2063 CuadroTexto"/>
        <xdr:cNvSpPr txBox="1"/>
      </xdr:nvSpPr>
      <xdr:spPr>
        <a:xfrm>
          <a:off x="1427163" y="12068175"/>
          <a:ext cx="194454" cy="288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65" name="20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66" name="20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67" name="20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68" name="20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69" name="20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0" name="20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1" name="20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2" name="20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3" name="207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4" name="20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5" name="20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6" name="20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7" name="20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8" name="20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79" name="20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0" name="20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1" name="20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2" name="20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3" name="20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4" name="20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5" name="20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6" name="20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7" name="20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8" name="20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89" name="20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0" name="20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1" name="20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2" name="209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3" name="209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4" name="209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5" name="209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6" name="209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7" name="209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8" name="209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099" name="209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0" name="209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1" name="210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2" name="210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3" name="210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4" name="210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5" name="210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6" name="210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7" name="210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8" name="21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09" name="21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0" name="210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1" name="21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2" name="21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3" name="21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4" name="21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5" name="21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6" name="21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7" name="211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8" name="211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19" name="21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0" name="13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1" name="132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2" name="132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3" name="13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4" name="132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5" name="13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6" name="13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7" name="13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8" name="21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29" name="21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0" name="212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1" name="213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2" name="213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3" name="21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4" name="213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5" name="21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6" name="213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7" name="213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8" name="213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39" name="213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0" name="21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1" name="21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2" name="21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3" name="21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4" name="21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5" name="21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6" name="214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7" name="214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8" name="214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49" name="2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0" name="2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1" name="2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2" name="21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3" name="215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4" name="215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5" name="21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6" name="21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7" name="21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8" name="21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59" name="21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0" name="215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1" name="21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2" name="216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3" name="216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4" name="21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5" name="21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6" name="21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7" name="21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8" name="21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69" name="21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0" name="21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1" name="21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2" name="21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3" name="217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4" name="21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5" name="21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6" name="21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7" name="21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8" name="21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79" name="21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0" name="21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1" name="21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2" name="21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3" name="21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4" name="21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5" name="2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6" name="2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7" name="2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8" name="21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89" name="21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0" name="21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1" name="13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2" name="132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3" name="132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4" name="13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5" name="132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6" name="13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7" name="13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8" name="13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199" name="13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0" name="219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1" name="220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2" name="220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3" name="220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4" name="220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5" name="220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6" name="220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7" name="220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8" name="22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09" name="22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0" name="220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1" name="22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2" name="22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3" name="22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4" name="22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5" name="2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6" name="2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17" name="2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2218" name="28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2219" name="802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2220" name="839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9"/>
    <xdr:sp macro="" textlink="">
      <xdr:nvSpPr>
        <xdr:cNvPr id="2221" name="912 CuadroTexto"/>
        <xdr:cNvSpPr txBox="1"/>
      </xdr:nvSpPr>
      <xdr:spPr>
        <a:xfrm>
          <a:off x="1427163" y="12068175"/>
          <a:ext cx="194454" cy="289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2" name="2221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3" name="2222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4" name="2223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5" name="2224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6" name="2225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7" name="2226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8" name="2227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168"/>
    <xdr:sp macro="" textlink="">
      <xdr:nvSpPr>
        <xdr:cNvPr id="2229" name="2228 CuadroTexto"/>
        <xdr:cNvSpPr txBox="1"/>
      </xdr:nvSpPr>
      <xdr:spPr>
        <a:xfrm>
          <a:off x="1427163" y="12068175"/>
          <a:ext cx="194454" cy="288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0" name="222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1" name="2230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2" name="2231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3" name="2232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4" name="2233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5" name="2234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6" name="2235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7" name="223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238" name="56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39"/>
    <xdr:sp macro="" textlink="">
      <xdr:nvSpPr>
        <xdr:cNvPr id="2239" name="2238 CuadroTexto"/>
        <xdr:cNvSpPr txBox="1"/>
      </xdr:nvSpPr>
      <xdr:spPr>
        <a:xfrm>
          <a:off x="1427163" y="12068175"/>
          <a:ext cx="194454" cy="2849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0" name="22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1" name="22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2" name="22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3" name="22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4" name="22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5" name="22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6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7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8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49" name="22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0" name="22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1" name="22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2" name="22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3" name="225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4" name="225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5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6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7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8" name="2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59" name="2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0" name="225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1" name="22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2" name="226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3" name="226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4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5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6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7" name="22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8" name="22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69" name="22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0" name="22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1" name="22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2" name="22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3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4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5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6" name="22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7" name="22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8" name="22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79" name="22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0" name="22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1" name="22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2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3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4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5" name="22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6" name="22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7" name="22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8" name="22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89" name="22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0" name="22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1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2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3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4" name="229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5" name="229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6" name="229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7" name="229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8" name="229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299" name="229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0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1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2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3" name="230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4" name="230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5" name="230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6" name="230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7" name="230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8" name="23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09" name="1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0" name="1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1" name="1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2" name="23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3" name="23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4" name="23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5" name="23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6" name="23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7" name="231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8" name="231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19" name="23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0" name="231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1" name="23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2" name="232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3" name="232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4" name="23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5" name="232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6" name="23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7" name="23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8" name="23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29" name="23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0" name="232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1" name="233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2" name="233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3" name="23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4" name="233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5" name="23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6" name="233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7" name="233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8" name="233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39" name="233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0" name="23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1" name="23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2" name="23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3" name="23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4" name="23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5" name="23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6" name="234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7" name="234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8" name="234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49" name="23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0" name="23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1" name="23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2" name="23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3" name="235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4" name="235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5" name="23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6" name="23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7" name="23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8" name="23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59" name="23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0" name="235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1" name="23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2" name="236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3" name="236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4" name="23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5" name="23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6" name="23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7" name="23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8" name="23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69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0" name="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1" name="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2" name="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3" name="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4" name="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5" name="23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6" name="23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7" name="23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8" name="23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79" name="23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0" name="23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1" name="23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2" name="23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3" name="23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4" name="23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5" name="23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6" name="23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7" name="23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8" name="23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89" name="23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0" name="23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1" name="23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2" name="239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3" name="239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4" name="239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5" name="239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6" name="239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7" name="239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8" name="239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399" name="239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0" name="239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1" name="240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2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3" name="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4" name="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5" name="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6" name="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2407" name="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08" name="2407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09" name="2408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0" name="2409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1" name="2410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2" name="2411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3" name="2412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4" name="2413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5" name="2414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6" name="2415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7" name="2416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8" name="2417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19" name="2418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0" name="2419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1" name="2420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2" name="2421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3" name="2422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4" name="2423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5" name="2424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6" name="2425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7" name="2426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8" name="2427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29" name="2428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0" name="2429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1" name="2430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2" name="2431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3" name="2432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4" name="2433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5" name="2434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6" name="2435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7" name="2436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8" name="2437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22"/>
    <xdr:sp macro="" textlink="">
      <xdr:nvSpPr>
        <xdr:cNvPr id="2439" name="2438 CuadroTexto"/>
        <xdr:cNvSpPr txBox="1"/>
      </xdr:nvSpPr>
      <xdr:spPr>
        <a:xfrm>
          <a:off x="1427163" y="12068175"/>
          <a:ext cx="194454" cy="28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0" name="243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1" name="244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2" name="244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3" name="244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4" name="244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5" name="244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6" name="244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7" name="244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8" name="244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49" name="244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0" name="244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1" name="245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2" name="245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3" name="245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4" name="245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5" name="245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6" name="245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7" name="245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8" name="245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59" name="245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0" name="245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1" name="246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2" name="246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3" name="246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4" name="246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5" name="246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6" name="246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7" name="246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8" name="246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69" name="246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0" name="246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1" name="247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2" name="18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3" name="77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4" name="83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5" name="90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6" name="17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7" name="17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8" name="17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79" name="17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0" name="247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1" name="248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2" name="248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3" name="248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4" name="248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5" name="248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6" name="248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7" name="248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8" name="248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89" name="248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0" name="248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1" name="249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2" name="249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3" name="249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4" name="249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5" name="249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6" name="249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7" name="249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8" name="249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499" name="249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0" name="249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1" name="250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2" name="250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3" name="250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4" name="250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5" name="250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6" name="250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7" name="250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8" name="250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09" name="250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0" name="250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1" name="251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2" name="18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3" name="77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4" name="83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5" name="90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6" name="17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7" name="17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8" name="17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519" name="17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0" name="251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1" name="2520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2" name="2521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3" name="2522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4" name="2523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5" name="2524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6" name="2525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7" name="252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8" name="2527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29" name="2528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0" name="252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1" name="2530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2" name="2531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3" name="2532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4" name="2533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5" name="2534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6" name="2535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7" name="253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8" name="2537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39" name="2538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0" name="253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1" name="2540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2" name="2541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3" name="2542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4" name="2543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5" name="2544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6" name="2545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7" name="2546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8" name="2547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49" name="2548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50" name="2549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662"/>
    <xdr:sp macro="" textlink="">
      <xdr:nvSpPr>
        <xdr:cNvPr id="2551" name="2550 CuadroTexto"/>
        <xdr:cNvSpPr txBox="1"/>
      </xdr:nvSpPr>
      <xdr:spPr>
        <a:xfrm>
          <a:off x="1427163" y="12068175"/>
          <a:ext cx="194454" cy="283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2" name="2551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3" name="2552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4" name="2553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5" name="2554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6" name="2555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7" name="2556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8" name="2557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59" name="2558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0" name="2559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1" name="2560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2" name="2561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3" name="2562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4" name="2563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5" name="2564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6" name="2565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7" name="2566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8" name="2567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69" name="2568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70" name="2569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71" name="2570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72" name="2571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73" name="2572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74" name="2573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75" name="2574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576" name="498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577" name="817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578" name="861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579" name="935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0" name="2579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1" name="2580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2" name="2581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3" name="2582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4" name="2583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5" name="2584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6" name="2585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7" name="2586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8" name="2587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89" name="2588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0" name="2589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1" name="2590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2" name="2591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3" name="2592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4" name="2593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5" name="2594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6" name="2595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7" name="2596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8" name="2597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599" name="2598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600" name="2599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601" name="2600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602" name="2601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078"/>
    <xdr:sp macro="" textlink="">
      <xdr:nvSpPr>
        <xdr:cNvPr id="2603" name="2602 CuadroTexto"/>
        <xdr:cNvSpPr txBox="1"/>
      </xdr:nvSpPr>
      <xdr:spPr>
        <a:xfrm>
          <a:off x="1427163" y="12068175"/>
          <a:ext cx="194454" cy="2890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604" name="498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605" name="817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606" name="861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690"/>
    <xdr:sp macro="" textlink="">
      <xdr:nvSpPr>
        <xdr:cNvPr id="2607" name="935 CuadroTexto"/>
        <xdr:cNvSpPr txBox="1"/>
      </xdr:nvSpPr>
      <xdr:spPr>
        <a:xfrm>
          <a:off x="1427163" y="12068175"/>
          <a:ext cx="194454" cy="285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08" name="260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09" name="260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0" name="260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1" name="261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2" name="261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3" name="261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4" name="261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5" name="261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6" name="261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7" name="261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8" name="261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19" name="261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0" name="261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1" name="262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2" name="262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3" name="262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4" name="262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5" name="262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6" name="262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7" name="262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8" name="262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29" name="262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0" name="262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1" name="263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2" name="263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3" name="263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4" name="263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5" name="263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6" name="263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7" name="263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8" name="263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39" name="263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0" name="263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1" name="264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2" name="264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3" name="264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4" name="264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5" name="264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6" name="264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7" name="264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8" name="264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49" name="264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0" name="264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1" name="265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2" name="265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3" name="265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4" name="265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5" name="132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6" name="132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7" name="132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8" name="132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59" name="132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0" name="132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1" name="132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2" name="132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3" name="132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4" name="266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5" name="266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6" name="266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7" name="266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8" name="266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69" name="266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0" name="266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1" name="267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2" name="267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3" name="267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4" name="267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5" name="267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6" name="267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7" name="267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8" name="267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79" name="267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0" name="267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1" name="268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2" name="268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3" name="268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4" name="268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5" name="268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6" name="268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7" name="268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8" name="268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89" name="268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0" name="268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1" name="269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2" name="269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3" name="269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4" name="269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5" name="269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6" name="269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7" name="269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8" name="269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699" name="269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0" name="269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1" name="270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2" name="270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3" name="270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4" name="270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5" name="270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6" name="270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7" name="270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8" name="270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09" name="270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0" name="270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1" name="271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2" name="271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3" name="271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4" name="271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5" name="271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6" name="271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7" name="271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8" name="132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19" name="132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0" name="132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1" name="132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2" name="132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3" name="132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4" name="132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5" name="132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6" name="132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7" name="272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8" name="272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29" name="272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0" name="272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1" name="273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2" name="273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3" name="273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4" name="273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5" name="273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6" name="273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7" name="273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8" name="273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39" name="273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0" name="273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1" name="274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2" name="274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3" name="274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4" name="274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5" name="274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6" name="274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7" name="274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8" name="274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49" name="274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0" name="274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1" name="275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2" name="275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3" name="275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4" name="275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5" name="275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6" name="275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7" name="275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8" name="275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59" name="275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0" name="275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1" name="276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2" name="276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3" name="276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4" name="276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5" name="276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6" name="276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7" name="276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8" name="276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69" name="276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0" name="276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1" name="277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2" name="277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3" name="277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4" name="277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5" name="277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6" name="277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7" name="277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8" name="277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79" name="277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0" name="277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1" name="132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2" name="132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3" name="132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4" name="132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5" name="132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6" name="132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7" name="132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8" name="132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89" name="132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0" name="278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1" name="279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2" name="279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3" name="279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4" name="279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5" name="279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6" name="279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7" name="279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8" name="279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799" name="279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0" name="279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1" name="280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2" name="280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3" name="280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4" name="280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5" name="280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6" name="280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7" name="280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8" name="280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09" name="280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0" name="280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1" name="281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2" name="281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3" name="281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4" name="281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5" name="281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6" name="281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7" name="281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8" name="281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19" name="281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0" name="281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1" name="282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2" name="282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3" name="282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4" name="282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5" name="282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6" name="282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7" name="282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8" name="282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29" name="282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0" name="282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1" name="283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2" name="283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3" name="283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4" name="283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5" name="283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6" name="283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7" name="283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8" name="283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39" name="283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0" name="2839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1" name="284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2" name="284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3" name="1320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4" name="132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5" name="132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6" name="132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7" name="132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8" name="132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49" name="132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0" name="132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1" name="1328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2" name="2851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3" name="2852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4" name="285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5" name="2854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6" name="2855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7" name="2856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2858" name="2857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59" name="2858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0" name="2859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1" name="2860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2" name="2861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3" name="2862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4" name="2863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5" name="2864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6" name="2865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7" name="2866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8" name="2867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69" name="2868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0" name="2869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1" name="2870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2" name="2871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3" name="2872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4" name="2873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5" name="2874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6" name="2875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7" name="2876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8" name="2877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79" name="2878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0" name="2879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1" name="2880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2" name="2881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3" name="2882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4" name="2883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5" name="2884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6" name="2885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7" name="2886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8" name="2887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89" name="2888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90" name="2889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91" name="2890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92" name="2891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93" name="2892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94" name="2893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95" name="2894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03"/>
    <xdr:sp macro="" textlink="">
      <xdr:nvSpPr>
        <xdr:cNvPr id="2896" name="2895 CuadroTexto"/>
        <xdr:cNvSpPr txBox="1"/>
      </xdr:nvSpPr>
      <xdr:spPr>
        <a:xfrm>
          <a:off x="1427163" y="12068175"/>
          <a:ext cx="194454" cy="289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897" name="289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898" name="289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899" name="289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0" name="289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1" name="290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2" name="290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3" name="290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4" name="290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5" name="290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6" name="290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7" name="290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8" name="290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09" name="290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0" name="290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1" name="291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2" name="291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3" name="291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4" name="291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5" name="291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6" name="291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7" name="291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8" name="291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19" name="291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0" name="291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1" name="292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2" name="292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3" name="292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4" name="292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5" name="292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6" name="292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7" name="292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8" name="292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29" name="292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0" name="292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1" name="293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2" name="293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3" name="293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4" name="293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5" name="293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6" name="293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7" name="293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8" name="293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39" name="293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0" name="293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1" name="294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2" name="294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3" name="294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4" name="294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5" name="294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6" name="294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7" name="294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8" name="294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49" name="294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0" name="294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1" name="295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2" name="295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3" name="295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4" name="295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5" name="295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6" name="295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7" name="295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8" name="295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59" name="295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0" name="295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1" name="296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2" name="296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3" name="2962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4" name="2963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5" name="2964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6" name="2965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7" name="2966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8" name="2967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69" name="2968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70" name="2969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71" name="2970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88"/>
    <xdr:sp macro="" textlink="">
      <xdr:nvSpPr>
        <xdr:cNvPr id="2972" name="2971 CuadroTexto"/>
        <xdr:cNvSpPr txBox="1"/>
      </xdr:nvSpPr>
      <xdr:spPr>
        <a:xfrm>
          <a:off x="1427163" y="12068175"/>
          <a:ext cx="194454" cy="2888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73" name="297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74" name="297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75" name="297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76" name="297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77" name="297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78" name="297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79" name="297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0" name="297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1" name="298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2" name="298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3" name="298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4" name="298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5" name="298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6" name="298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7" name="298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8" name="298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89" name="298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0" name="298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1" name="299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2" name="299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3" name="299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4" name="299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5" name="299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6" name="299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7" name="299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8" name="299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2999" name="299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0" name="299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1" name="300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2" name="300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3" name="300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4" name="300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5" name="300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6" name="300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7" name="300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8" name="300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09" name="300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0" name="300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1" name="301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2" name="301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3" name="301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4" name="301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5" name="301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6" name="301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7" name="301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8" name="301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19" name="301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0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1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2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3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4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5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6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7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8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29" name="30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0" name="302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1" name="303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2" name="303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3" name="303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4" name="303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5" name="303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6" name="303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7" name="303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8" name="303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39" name="303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0" name="303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1" name="304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2" name="304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3" name="304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4" name="304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5" name="304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6" name="304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7" name="304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8" name="304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49" name="304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0" name="304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1" name="305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2" name="305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3" name="305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4" name="305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5" name="305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6" name="305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7" name="305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8" name="305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59" name="305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0" name="305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1" name="306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2" name="306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3" name="306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4" name="306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5" name="306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6" name="306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7" name="306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8" name="306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69" name="306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0" name="306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1" name="307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2" name="307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3" name="307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4" name="307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5" name="307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6" name="307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7" name="307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8" name="307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79" name="307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0" name="307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1" name="308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2" name="308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3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4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5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6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7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8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89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0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1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2" name="309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3" name="309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4" name="309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5" name="309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6" name="309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7" name="309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8" name="309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099" name="309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0" name="309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1" name="310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2" name="310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3" name="310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4" name="310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5" name="310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6" name="310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7" name="310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8" name="310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09" name="310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0" name="310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1" name="311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2" name="311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3" name="311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4" name="311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5" name="311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6" name="311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7" name="311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8" name="311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19" name="311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0" name="311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1" name="31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2" name="31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3" name="31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4" name="31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5" name="31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6" name="31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7" name="31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8" name="31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29" name="31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0" name="312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1" name="313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2" name="313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3" name="313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4" name="313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5" name="313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6" name="313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7" name="313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8" name="313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39" name="313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0" name="313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1" name="314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2" name="314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3" name="314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4" name="314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5" name="314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6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7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8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49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0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1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2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3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4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5" name="315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6" name="315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7" name="315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8" name="315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59" name="315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0" name="315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1" name="316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2" name="316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3" name="316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4" name="316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5" name="316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6" name="316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7" name="316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8" name="316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69" name="316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0" name="316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1" name="317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2" name="317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3" name="317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4" name="317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5" name="317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6" name="317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7" name="317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8" name="317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79" name="317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0" name="317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1" name="318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2" name="318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3" name="318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4" name="318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5" name="318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6" name="318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7" name="318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8" name="318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89" name="318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0" name="318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1" name="319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2" name="319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3" name="319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4" name="319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5" name="319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6" name="319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7" name="319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8" name="319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199" name="319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0" name="319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1" name="320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2" name="320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3" name="320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4" name="320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5" name="320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6" name="320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7" name="320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8" name="320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09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0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1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2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3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4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5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6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7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8" name="321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19" name="321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0" name="321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1" name="32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2" name="32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3" name="32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4" name="32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5" name="32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6" name="32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7" name="32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8" name="32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29" name="32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0" name="322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1" name="323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2" name="323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3" name="323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4" name="323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5" name="323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6" name="323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7" name="323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8" name="323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39" name="323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0" name="323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1" name="324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2" name="324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3" name="324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4" name="324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5" name="324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6" name="324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7" name="324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8" name="324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49" name="324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0" name="324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1" name="325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2" name="325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3" name="325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4" name="325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5" name="325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6" name="325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7" name="325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8" name="325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59" name="325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0" name="325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1" name="326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2" name="326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3" name="326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4" name="326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5" name="326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6" name="326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7" name="326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8" name="326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69" name="326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0" name="326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1" name="327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2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3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4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5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6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7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8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79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0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1" name="328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2" name="328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3" name="328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4" name="328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5" name="328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6" name="328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7" name="328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8" name="328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89" name="328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0" name="328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1" name="329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2" name="329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3" name="329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4" name="329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5" name="329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6" name="329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7" name="329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8" name="329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299" name="329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0" name="329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1" name="330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2" name="330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3" name="330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4" name="330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5" name="330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6" name="330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7" name="330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8" name="330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09" name="330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0" name="330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1" name="331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2" name="331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3" name="331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4" name="331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5" name="331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6" name="331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7" name="331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8" name="331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19" name="331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0" name="331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1" name="3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2" name="3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3" name="3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4" name="3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5" name="3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6" name="3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7" name="3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8" name="3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29" name="3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0" name="332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1" name="333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2" name="333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3" name="333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4" name="333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5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6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7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8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39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0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1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2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3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4" name="334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5" name="334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6" name="334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7" name="334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8" name="334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49" name="334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0" name="334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1" name="335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2" name="335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3" name="335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4" name="335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5" name="335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6" name="335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7" name="335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8" name="335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59" name="335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0" name="335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1" name="336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2" name="336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3" name="336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4" name="336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5" name="336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6" name="336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7" name="336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8" name="336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69" name="336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0" name="336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1" name="337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2" name="337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3" name="337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4" name="337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5" name="337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6" name="337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7" name="337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8" name="337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79" name="337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0" name="337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1" name="338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2" name="338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3" name="338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4" name="338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5" name="338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6" name="338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7" name="338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8" name="338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89" name="338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0" name="338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1" name="339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2" name="339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3" name="339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4" name="339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5" name="339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6" name="339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7" name="339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8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399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0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1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2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3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4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5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6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7" name="340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8" name="340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09" name="340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0" name="340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1" name="341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2" name="341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3" name="341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4" name="341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5" name="341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6" name="341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7" name="341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8" name="341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19" name="341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0" name="341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1" name="34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2" name="34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3" name="34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4" name="34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5" name="34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6" name="34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7" name="34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8" name="34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29" name="34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0" name="342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1" name="343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2" name="343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3" name="343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4" name="343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5" name="343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6" name="343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7" name="343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8" name="343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39" name="343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0" name="343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1" name="344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2" name="344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3" name="344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4" name="344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5" name="344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6" name="344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7" name="344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8" name="344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49" name="344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0" name="344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1" name="345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2" name="345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3" name="345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4" name="345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5" name="345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6" name="345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7" name="345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8" name="345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59" name="345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0" name="345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1" name="132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2" name="132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3" name="132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4" name="132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5" name="132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6" name="132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7" name="1326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8" name="1327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69" name="1328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70" name="3469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71" name="3470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72" name="3471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73" name="3472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74" name="3473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75" name="3474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839"/>
    <xdr:sp macro="" textlink="">
      <xdr:nvSpPr>
        <xdr:cNvPr id="3476" name="3475 CuadroTexto"/>
        <xdr:cNvSpPr txBox="1"/>
      </xdr:nvSpPr>
      <xdr:spPr>
        <a:xfrm>
          <a:off x="1427163" y="12068175"/>
          <a:ext cx="194454" cy="282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77" name="347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78" name="3477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79" name="3478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0" name="3479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1" name="348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2" name="3481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3" name="3482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4" name="3483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5" name="3484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6" name="348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7" name="348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8" name="3487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89" name="3488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90" name="3489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91" name="349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492" name="3491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493" name="3492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494" name="3493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495" name="3494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496" name="3495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497" name="3496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498" name="3497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499" name="1184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00" name="1185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01" name="1186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02" name="3501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03" name="3502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04" name="3503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05" name="3504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06" name="3505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07" name="3506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08" name="1184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09" name="1185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10" name="1186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11" name="3510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12" name="3511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13" name="3512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14" name="3513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15" name="3514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16" name="3515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17" name="1184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18" name="1185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19" name="1186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20" name="3519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21" name="3520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22" name="3521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23" name="3522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24" name="3523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7"/>
    <xdr:sp macro="" textlink="">
      <xdr:nvSpPr>
        <xdr:cNvPr id="3525" name="3524 CuadroTexto"/>
        <xdr:cNvSpPr txBox="1"/>
      </xdr:nvSpPr>
      <xdr:spPr>
        <a:xfrm>
          <a:off x="1427163" y="12068175"/>
          <a:ext cx="194454" cy="284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26" name="1184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27" name="1185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718"/>
    <xdr:sp macro="" textlink="">
      <xdr:nvSpPr>
        <xdr:cNvPr id="3528" name="1186 CuadroTexto"/>
        <xdr:cNvSpPr txBox="1"/>
      </xdr:nvSpPr>
      <xdr:spPr>
        <a:xfrm>
          <a:off x="1427163" y="12068175"/>
          <a:ext cx="194454" cy="283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29" name="3528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0" name="3529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1" name="353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2" name="3531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3" name="3532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4" name="3533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5" name="1184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6" name="118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7" name="118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8" name="3537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39" name="3538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0" name="3539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1" name="354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2" name="3541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3" name="3542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4" name="1184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5" name="118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6" name="118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7" name="354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8" name="3547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49" name="3548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0" name="3549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1" name="355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2" name="3551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3" name="1184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4" name="118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5" name="118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6" name="355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7" name="355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8" name="3557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59" name="3558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60" name="3559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61" name="3560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62" name="1184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63" name="1185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7"/>
    <xdr:sp macro="" textlink="">
      <xdr:nvSpPr>
        <xdr:cNvPr id="3564" name="1186 CuadroTexto"/>
        <xdr:cNvSpPr txBox="1"/>
      </xdr:nvSpPr>
      <xdr:spPr>
        <a:xfrm>
          <a:off x="1427163" y="12068175"/>
          <a:ext cx="194454" cy="2853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65" name="35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66" name="35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67" name="35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68" name="35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69" name="35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0" name="35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1" name="35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2" name="35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3" name="357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4" name="35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5" name="35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6" name="35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7" name="35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8" name="35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79" name="35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0" name="35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1" name="35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2" name="35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3" name="35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4" name="35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5" name="35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6" name="35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7" name="35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8" name="35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89" name="35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0" name="35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1" name="35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2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3" name="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4" name="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5" name="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6" name="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7" name="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8" name="359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599" name="359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0" name="359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1" name="360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2" name="360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3" name="360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4" name="360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5" name="360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6" name="360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7" name="360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8" name="36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09" name="36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0" name="360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1" name="36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2" name="36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3" name="36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4" name="36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5" name="36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6" name="36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7" name="361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8" name="361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19" name="36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0" name="361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1" name="36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2" name="362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3" name="362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4" name="36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5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6" name="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7" name="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8" name="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29" name="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0" name="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1" name="363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2" name="363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3" name="36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4" name="363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5" name="36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6" name="363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7" name="363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8" name="363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39" name="363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0" name="36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1" name="36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2" name="36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3" name="36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4" name="36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5" name="36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6" name="364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7" name="364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8" name="364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49" name="36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0" name="36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1" name="36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2" name="36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3" name="365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4" name="365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5" name="36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6" name="36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7" name="36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8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59" name="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0" name="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1" name="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2" name="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3" name="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4" name="36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5" name="36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6" name="36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7" name="36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8" name="36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69" name="36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0" name="36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1" name="36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2" name="36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3" name="367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4" name="36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5" name="36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6" name="36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7" name="36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8" name="36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79" name="36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0" name="36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1" name="36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2" name="36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3" name="36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4" name="36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5" name="36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6" name="36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7" name="36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8" name="36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89" name="36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90" name="36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91" name="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92" name="1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93" name="1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94" name="1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95" name="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3696" name="2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697" name="369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698" name="3697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699" name="3698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0" name="3699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1" name="3700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2" name="3701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3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4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5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6" name="370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7" name="370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8" name="3707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09" name="3708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0" name="3709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1" name="3710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2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3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4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5" name="371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6" name="371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7" name="371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8" name="3717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19" name="3718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0" name="3719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1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2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3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4" name="3723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5" name="372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6" name="372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7" name="372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8" name="3727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29" name="3728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30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31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732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33" name="373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34" name="3733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35" name="373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36" name="373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37" name="373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38" name="3737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39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0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1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2" name="3741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3" name="374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4" name="3743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5" name="374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6" name="374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7" name="374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8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49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0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1" name="3750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2" name="3751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3" name="375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4" name="3753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5" name="375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6" name="375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7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8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59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0" name="3759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1" name="3760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2" name="3761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3" name="376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4" name="3763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5" name="376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6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7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768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69" name="376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0" name="376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1" name="377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2" name="377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3" name="377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4" name="377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5" name="377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6" name="377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7" name="377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8" name="377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79" name="377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0" name="377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1" name="378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2" name="378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3" name="378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4" name="378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5" name="378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6" name="378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7" name="378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8" name="378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89" name="378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0" name="378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1" name="379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2" name="379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3" name="379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4" name="379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5" name="379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6" name="1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7" name="14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8" name="14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799" name="15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0" name="25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1" name="25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2" name="380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3" name="380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4" name="380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5" name="380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6" name="380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7" name="380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8" name="380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09" name="380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0" name="380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1" name="381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2" name="381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3" name="381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4" name="381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5" name="381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6" name="381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7" name="381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8" name="381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19" name="381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0" name="381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1" name="382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2" name="382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3" name="382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4" name="382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5" name="382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6" name="382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7" name="382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8" name="382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29" name="1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30" name="14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31" name="14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32" name="15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33" name="25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834" name="25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35" name="383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36" name="383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37" name="383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38" name="3837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39" name="3838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0" name="3839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1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2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3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4" name="3843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5" name="384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6" name="384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7" name="384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8" name="3847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49" name="3848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0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1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2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3" name="3852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4" name="3853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5" name="385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6" name="385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7" name="385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8" name="3857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59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0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1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2" name="3861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3" name="3862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4" name="3863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5" name="386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6" name="386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7" name="386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8" name="1184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69" name="1185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12"/>
    <xdr:sp macro="" textlink="">
      <xdr:nvSpPr>
        <xdr:cNvPr id="3870" name="1186 CuadroTexto"/>
        <xdr:cNvSpPr txBox="1"/>
      </xdr:nvSpPr>
      <xdr:spPr>
        <a:xfrm>
          <a:off x="1427163" y="12068175"/>
          <a:ext cx="194454" cy="289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1" name="3870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2" name="3871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3" name="387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4" name="3873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5" name="387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6" name="387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7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8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79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0" name="3879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1" name="3880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2" name="3881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3" name="388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4" name="3883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5" name="38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6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7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8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89" name="3888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0" name="3889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1" name="3890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2" name="3891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3" name="389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4" name="3893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5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6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7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8" name="3897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899" name="3898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900" name="3899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901" name="3900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902" name="3901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903" name="3902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904" name="1184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905" name="1185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10"/>
    <xdr:sp macro="" textlink="">
      <xdr:nvSpPr>
        <xdr:cNvPr id="3906" name="1186 CuadroTexto"/>
        <xdr:cNvSpPr txBox="1"/>
      </xdr:nvSpPr>
      <xdr:spPr>
        <a:xfrm>
          <a:off x="1427163" y="12068175"/>
          <a:ext cx="194454" cy="28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07" name="390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08" name="390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09" name="390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0" name="390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1" name="391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2" name="391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3" name="391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4" name="391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5" name="391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6" name="391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7" name="391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8" name="391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19" name="391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0" name="391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1" name="392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2" name="392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3" name="392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4" name="392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5" name="392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6" name="392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7" name="392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8" name="392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29" name="392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0" name="392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1" name="393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2" name="393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3" name="393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4" name="1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5" name="14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6" name="14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7" name="15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8" name="25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39" name="25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0" name="393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1" name="394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2" name="394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3" name="394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4" name="394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5" name="394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6" name="394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7" name="394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8" name="394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49" name="394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0" name="394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1" name="395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2" name="395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3" name="395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4" name="395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5" name="395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6" name="395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7" name="3956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8" name="395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59" name="395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0" name="395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1" name="396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2" name="396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3" name="3962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4" name="3963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5" name="3964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6" name="3965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7" name="11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8" name="14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69" name="149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70" name="150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71" name="257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152"/>
    <xdr:sp macro="" textlink="">
      <xdr:nvSpPr>
        <xdr:cNvPr id="3972" name="258 CuadroTexto"/>
        <xdr:cNvSpPr txBox="1"/>
      </xdr:nvSpPr>
      <xdr:spPr>
        <a:xfrm>
          <a:off x="1427163" y="12068175"/>
          <a:ext cx="194454" cy="2891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73" name="3972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74" name="3973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75" name="3974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3976" name="3975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3977" name="3976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3978" name="3977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3979" name="3978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0" name="3979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1" name="398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2" name="3981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3" name="3982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4" name="3983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5" name="3984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6" name="3985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7" name="3986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8" name="3987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89" name="3988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0" name="3989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1" name="399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2" name="3991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3" name="269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4" name="27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5" name="271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6" name="64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7" name="641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8" name="642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3999" name="3998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00" name="3999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01" name="400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4002" name="4001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4003" name="4002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4004" name="4003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0"/>
    <xdr:sp macro="" textlink="">
      <xdr:nvSpPr>
        <xdr:cNvPr id="4005" name="4004 CuadroTexto"/>
        <xdr:cNvSpPr txBox="1"/>
      </xdr:nvSpPr>
      <xdr:spPr>
        <a:xfrm>
          <a:off x="1427163" y="12068175"/>
          <a:ext cx="194454" cy="2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06" name="4005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07" name="4006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08" name="4007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09" name="4008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0" name="4009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1" name="401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2" name="4011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3" name="4012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4" name="4013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5" name="4014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6" name="4015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7" name="4016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8" name="4017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19" name="269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20" name="27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21" name="271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22" name="640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23" name="641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418"/>
    <xdr:sp macro="" textlink="">
      <xdr:nvSpPr>
        <xdr:cNvPr id="4024" name="642 CuadroTexto"/>
        <xdr:cNvSpPr txBox="1"/>
      </xdr:nvSpPr>
      <xdr:spPr>
        <a:xfrm>
          <a:off x="1427163" y="12068175"/>
          <a:ext cx="194454" cy="287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25" name="4024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26" name="4025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27" name="4026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28" name="4027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29" name="4028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0" name="4029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1" name="4030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2" name="4031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3" name="4032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4" name="4033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5" name="4034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6" name="4035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7" name="4036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8" name="4037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39" name="4038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437</xdr:row>
      <xdr:rowOff>0</xdr:rowOff>
    </xdr:from>
    <xdr:ext cx="194454" cy="294424"/>
    <xdr:sp macro="" textlink="">
      <xdr:nvSpPr>
        <xdr:cNvPr id="4040" name="4039 CuadroTexto"/>
        <xdr:cNvSpPr txBox="1"/>
      </xdr:nvSpPr>
      <xdr:spPr>
        <a:xfrm>
          <a:off x="1427163" y="109680375"/>
          <a:ext cx="194454" cy="29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1" name="222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2" name="223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3" name="224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4" name="225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5" name="226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6" name="227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7" name="228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8" name="229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49" name="230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0" name="232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1" name="233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2" name="234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3" name="235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4" name="236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5" name="237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6" name="238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7" name="239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8" name="240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59" name="241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0" name="222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1" name="223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2" name="224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3" name="225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4" name="226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5" name="227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6" name="228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7" name="229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8" name="230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69" name="232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0" name="233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1" name="234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2" name="235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3" name="236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4" name="237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5" name="238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6" name="239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7" name="240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770"/>
    <xdr:sp macro="" textlink="">
      <xdr:nvSpPr>
        <xdr:cNvPr id="4078" name="241 CuadroTexto"/>
        <xdr:cNvSpPr txBox="1"/>
      </xdr:nvSpPr>
      <xdr:spPr>
        <a:xfrm>
          <a:off x="1427163" y="12068175"/>
          <a:ext cx="194454" cy="285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79" name="4078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80" name="4079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81" name="4080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62"/>
    <xdr:sp macro="" textlink="">
      <xdr:nvSpPr>
        <xdr:cNvPr id="4082" name="4081 CuadroTexto"/>
        <xdr:cNvSpPr txBox="1"/>
      </xdr:nvSpPr>
      <xdr:spPr>
        <a:xfrm>
          <a:off x="1427163" y="12068175"/>
          <a:ext cx="194454" cy="288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083" name="4082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084" name="4083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085" name="4084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86" name="4085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87" name="4086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88" name="4087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89" name="4088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90" name="4089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91" name="4090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092" name="4091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093" name="4092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094" name="15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095" name="16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096" name="17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097" name="78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98" name="1175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099" name="1176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00" name="1177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01" name="1178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02" name="4101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03" name="4102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04" name="4103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62"/>
    <xdr:sp macro="" textlink="">
      <xdr:nvSpPr>
        <xdr:cNvPr id="4105" name="4104 CuadroTexto"/>
        <xdr:cNvSpPr txBox="1"/>
      </xdr:nvSpPr>
      <xdr:spPr>
        <a:xfrm>
          <a:off x="1427163" y="12068175"/>
          <a:ext cx="194454" cy="288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106" name="4105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107" name="4106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108" name="4107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09" name="4108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10" name="4109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11" name="4110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12" name="4111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13" name="4112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14" name="4113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115" name="4114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12"/>
    <xdr:sp macro="" textlink="">
      <xdr:nvSpPr>
        <xdr:cNvPr id="4116" name="4115 CuadroTexto"/>
        <xdr:cNvSpPr txBox="1"/>
      </xdr:nvSpPr>
      <xdr:spPr>
        <a:xfrm>
          <a:off x="1427163" y="12068175"/>
          <a:ext cx="194454" cy="288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117" name="15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118" name="16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119" name="17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29"/>
    <xdr:sp macro="" textlink="">
      <xdr:nvSpPr>
        <xdr:cNvPr id="4120" name="78 CuadroTexto"/>
        <xdr:cNvSpPr txBox="1"/>
      </xdr:nvSpPr>
      <xdr:spPr>
        <a:xfrm>
          <a:off x="1427163" y="12068175"/>
          <a:ext cx="194454" cy="284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21" name="1175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22" name="1176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23" name="1177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72"/>
    <xdr:sp macro="" textlink="">
      <xdr:nvSpPr>
        <xdr:cNvPr id="4124" name="1178 CuadroTexto"/>
        <xdr:cNvSpPr txBox="1"/>
      </xdr:nvSpPr>
      <xdr:spPr>
        <a:xfrm>
          <a:off x="1427163" y="12068175"/>
          <a:ext cx="194454" cy="286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25" name="222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26" name="223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27" name="224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28" name="225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29" name="226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0" name="227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1" name="228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2" name="229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3" name="230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4" name="232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5" name="233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6" name="234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7" name="235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8" name="236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39" name="237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0" name="238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1" name="239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2" name="240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3" name="241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4" name="222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5" name="223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6" name="224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7" name="225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8" name="226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49" name="227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0" name="228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1" name="229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2" name="230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3" name="232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4" name="233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5" name="234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6" name="235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7" name="236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8" name="237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59" name="238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60" name="239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61" name="240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902"/>
    <xdr:sp macro="" textlink="">
      <xdr:nvSpPr>
        <xdr:cNvPr id="4162" name="241 CuadroTexto"/>
        <xdr:cNvSpPr txBox="1"/>
      </xdr:nvSpPr>
      <xdr:spPr>
        <a:xfrm>
          <a:off x="1427163" y="12068175"/>
          <a:ext cx="194454" cy="28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63" name="416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64" name="416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65" name="416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66" name="416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67" name="416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68" name="416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69" name="416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0" name="416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1" name="417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2" name="417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3" name="417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4" name="417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5" name="417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6" name="417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7" name="417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8" name="417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79" name="417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0" name="417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1" name="418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2" name="418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3" name="418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4" name="418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5" name="418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6" name="418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7" name="418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8" name="418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89" name="418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0" name="418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1" name="419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2" name="419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3" name="419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4" name="419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5" name="419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6" name="419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7" name="419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8" name="419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199" name="419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0" name="419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1" name="420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2" name="420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3" name="420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4" name="420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5" name="420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6" name="420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7" name="420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8" name="420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09" name="420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0" name="420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1" name="421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2" name="421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3" name="421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4" name="421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5" name="421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6" name="421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7" name="421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8" name="421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19" name="421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0" name="421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1" name="422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2" name="422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3" name="422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4" name="422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5" name="422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6" name="422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7" name="422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8" name="422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29" name="422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0" name="422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1" name="423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2" name="423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3" name="423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4" name="423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5" name="423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6" name="423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7" name="423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8" name="423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39" name="423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0" name="423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1" name="424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2" name="424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3" name="424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4" name="424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5" name="424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6" name="424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7" name="424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8" name="424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49" name="424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0" name="424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1" name="425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2" name="425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3" name="425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4" name="425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5" name="425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6" name="425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7" name="425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8" name="425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59" name="425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0" name="425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1" name="426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2" name="426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3" name="426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4" name="426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5" name="426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6" name="426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7" name="426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8" name="426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69" name="426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0" name="426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1" name="427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2" name="427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3" name="427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4" name="427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5" name="427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6" name="427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7" name="427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8" name="427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79" name="427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0" name="427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1" name="428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2" name="428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3" name="428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4" name="428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5" name="428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6" name="428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7" name="428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8" name="428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89" name="428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0" name="428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1" name="429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2" name="429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3" name="429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4" name="429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5" name="429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6" name="429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7" name="429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8" name="429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299" name="429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0" name="429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1" name="430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2" name="430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3" name="430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4" name="430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5" name="430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6" name="430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7" name="430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8" name="430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09" name="430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0" name="430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1" name="431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2" name="431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3" name="431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4" name="431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5" name="431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6" name="431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7" name="431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8" name="431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19" name="431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0" name="431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1" name="432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2" name="432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3" name="432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4" name="432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5" name="432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6" name="432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7" name="432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8" name="432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29" name="432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0" name="432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1" name="433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2" name="433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3" name="433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4" name="433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5" name="433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6" name="433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7" name="433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8" name="433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39" name="433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0" name="433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1" name="434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2" name="434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3" name="434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4" name="434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5" name="4344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6" name="4345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7" name="4346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8" name="4347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49" name="4348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50" name="4349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51" name="4350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52" name="4351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53" name="4352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146"/>
    <xdr:sp macro="" textlink="">
      <xdr:nvSpPr>
        <xdr:cNvPr id="4354" name="4353 CuadroTexto"/>
        <xdr:cNvSpPr txBox="1"/>
      </xdr:nvSpPr>
      <xdr:spPr>
        <a:xfrm>
          <a:off x="1427163" y="12068175"/>
          <a:ext cx="194454" cy="283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55" name="4354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56" name="4355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57" name="4356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58" name="4357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59" name="4358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0" name="4359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1" name="4360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2" name="4361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3" name="4362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4" name="4363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5" name="4364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6" name="4365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7" name="4366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8" name="4367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69" name="4368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0" name="4369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1" name="4370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2" name="4371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3" name="4372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4" name="4373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5" name="4374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6" name="4375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7" name="4376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78" name="4377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379" name="498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380" name="817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381" name="861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382" name="935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83" name="4382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84" name="4383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85" name="4384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86" name="4385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87" name="4386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88" name="4387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89" name="4388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0" name="4389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1" name="4390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2" name="4391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3" name="4392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4" name="4393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5" name="4394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6" name="4395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7" name="4396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8" name="4397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399" name="4398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400" name="4399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401" name="4400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402" name="4401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403" name="4402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404" name="4403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405" name="4404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052"/>
    <xdr:sp macro="" textlink="">
      <xdr:nvSpPr>
        <xdr:cNvPr id="4406" name="4405 CuadroTexto"/>
        <xdr:cNvSpPr txBox="1"/>
      </xdr:nvSpPr>
      <xdr:spPr>
        <a:xfrm>
          <a:off x="1427163" y="12068175"/>
          <a:ext cx="194454" cy="28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407" name="498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408" name="817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409" name="861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008"/>
    <xdr:sp macro="" textlink="">
      <xdr:nvSpPr>
        <xdr:cNvPr id="4410" name="935 CuadroTexto"/>
        <xdr:cNvSpPr txBox="1"/>
      </xdr:nvSpPr>
      <xdr:spPr>
        <a:xfrm>
          <a:off x="1427163" y="12068175"/>
          <a:ext cx="194454" cy="28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411" name="13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2" name="441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3" name="441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4" name="441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5" name="441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6" name="441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7" name="441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8" name="441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19" name="441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0" name="441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1" name="442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2" name="442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3" name="442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4" name="442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5" name="442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6" name="442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7" name="442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8" name="442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29" name="442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0" name="442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1" name="443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2" name="443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3" name="443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4" name="443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5" name="443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6" name="49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7" name="81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8" name="86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39" name="93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0" name="443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1" name="444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2" name="444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3" name="444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4" name="444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5" name="444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6" name="444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7" name="444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8" name="444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49" name="444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0" name="444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1" name="445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2" name="445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3" name="445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4" name="445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5" name="445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6" name="445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7" name="445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8" name="445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59" name="445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0" name="445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1" name="446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2" name="446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3" name="446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4" name="49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5" name="81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6" name="86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7" name="93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8" name="446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69" name="446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0" name="446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1" name="447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2" name="447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3" name="447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4" name="447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5" name="447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6" name="447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7" name="447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8" name="447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79" name="447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0" name="447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1" name="448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2" name="448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3" name="448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4" name="448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5" name="448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6" name="448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7" name="448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8" name="448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89" name="448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0" name="448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1" name="449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2" name="49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3" name="81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4" name="86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5" name="93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6" name="449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7" name="449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8" name="449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499" name="449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0" name="449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1" name="450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2" name="450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3" name="450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4" name="450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5" name="450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6" name="450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7" name="450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8" name="450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09" name="450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0" name="4509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1" name="4510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2" name="451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3" name="4512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4" name="4513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5" name="4514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6" name="451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7" name="4516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8" name="451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19" name="451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20" name="498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21" name="817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22" name="861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7"/>
    <xdr:sp macro="" textlink="">
      <xdr:nvSpPr>
        <xdr:cNvPr id="4523" name="935 CuadroTexto"/>
        <xdr:cNvSpPr txBox="1"/>
      </xdr:nvSpPr>
      <xdr:spPr>
        <a:xfrm>
          <a:off x="1427163" y="12068175"/>
          <a:ext cx="194454" cy="28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731"/>
    <xdr:sp macro="" textlink="">
      <xdr:nvSpPr>
        <xdr:cNvPr id="4524" name="4523 CuadroTexto"/>
        <xdr:cNvSpPr txBox="1"/>
      </xdr:nvSpPr>
      <xdr:spPr>
        <a:xfrm>
          <a:off x="1427163" y="12068175"/>
          <a:ext cx="194454" cy="2847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25" name="452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26" name="452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27" name="452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28" name="452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29" name="452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0" name="452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1" name="453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2" name="453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3" name="453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4" name="453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5" name="453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6" name="453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7" name="453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8" name="453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39" name="453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0" name="453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1" name="454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2" name="454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3" name="454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4" name="454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5" name="454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6" name="454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7" name="454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8" name="454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49" name="454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0" name="454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1" name="455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2" name="455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3" name="455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4" name="455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5" name="455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6" name="455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7" name="455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8" name="455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59" name="455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0" name="455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1" name="456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2" name="456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3" name="456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4" name="456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5" name="456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6" name="456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7" name="456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8" name="456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69" name="456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0" name="456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1" name="457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2" name="457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3" name="457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4" name="457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5" name="457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6" name="457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7" name="457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8" name="457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79" name="457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0" name="457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1" name="458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2" name="458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3" name="458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4" name="458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5" name="458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6" name="458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7" name="458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8" name="458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89" name="458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0" name="458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1" name="4590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2" name="4591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3" name="4592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4" name="4593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5" name="4594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6" name="4595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7" name="4596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8" name="4597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599" name="4598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4</xdr:row>
      <xdr:rowOff>0</xdr:rowOff>
    </xdr:from>
    <xdr:ext cx="194454" cy="284346"/>
    <xdr:sp macro="" textlink="">
      <xdr:nvSpPr>
        <xdr:cNvPr id="4600" name="4599 CuadroTexto"/>
        <xdr:cNvSpPr txBox="1"/>
      </xdr:nvSpPr>
      <xdr:spPr>
        <a:xfrm>
          <a:off x="1427163" y="1647825"/>
          <a:ext cx="194454" cy="284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1" name="4600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2" name="4601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3" name="4602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4" name="4603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5" name="4604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6" name="4605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7" name="4606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8" name="4607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09" name="4608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10" name="4609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11" name="46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12" name="46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13" name="46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14" name="46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15" name="46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16" name="4615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17" name="4616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18" name="4617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19" name="4618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20" name="4619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21" name="4620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22" name="4621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23" name="4622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24" name="4623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625" name="4624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26" name="46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27" name="46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28" name="46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29" name="46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630" name="462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1" name="463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2" name="4631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3" name="4632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4" name="4633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5" name="463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6" name="463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7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8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39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0" name="4639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1" name="464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2" name="4641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3" name="4642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4" name="4643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5" name="464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6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7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8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49" name="4648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0" name="4649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1" name="465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2" name="4651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3" name="4652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4" name="4653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5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6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7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8" name="4657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59" name="4658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60" name="4659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61" name="466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62" name="4661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63" name="4662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64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65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666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67" name="466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68" name="466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69" name="466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670" name="4669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671" name="4670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672" name="4671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673" name="4672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674" name="4673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675" name="4674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76" name="467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77" name="467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78" name="467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79" name="467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0" name="467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1" name="468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2" name="468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3" name="468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4" name="468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5" name="468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6" name="468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7" name="468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8" name="468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89" name="468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90" name="468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91" name="469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92" name="469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93" name="469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694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695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696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697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98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699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00" name="469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01" name="470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02" name="470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03" name="4702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04" name="4703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05" name="4704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06" name="4705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07" name="4706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08" name="4707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09" name="470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0" name="470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1" name="471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2" name="471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3" name="471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4" name="471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5" name="471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6" name="471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7" name="471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8" name="471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19" name="471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20" name="471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21" name="472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22" name="472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23" name="472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24" name="472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25" name="472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26" name="472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27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28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29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30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31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32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33" name="473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34" name="473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35" name="473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36" name="4735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37" name="4736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38" name="4737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39" name="4738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40" name="4739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41" name="4740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2" name="474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3" name="474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4" name="474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5" name="474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6" name="474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7" name="474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8" name="474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49" name="474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0" name="474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1" name="475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2" name="475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3" name="475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4" name="475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5" name="475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6" name="475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7" name="475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8" name="47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59" name="47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60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61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62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63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64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65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66" name="476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67" name="476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68" name="476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69" name="4768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70" name="4769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71" name="4770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72" name="4771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73" name="4772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774" name="4773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75" name="477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76" name="477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77" name="477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78" name="477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79" name="477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0" name="477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1" name="478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2" name="478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3" name="478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4" name="478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5" name="478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6" name="478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7" name="478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8" name="478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89" name="478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90" name="478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91" name="479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92" name="479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93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94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95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796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97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798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799" name="4798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0" name="4799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1" name="4800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2" name="4801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3" name="4802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4" name="4803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5" name="4804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6" name="4805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7" name="4806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08" name="4807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09" name="48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10" name="480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11" name="48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12" name="48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13" name="48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14" name="4813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15" name="4814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16" name="4815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17" name="4816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18" name="4817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19" name="4818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20" name="4819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21" name="4820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22" name="4821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558"/>
    <xdr:sp macro="" textlink="">
      <xdr:nvSpPr>
        <xdr:cNvPr id="4823" name="4822 CuadroTexto"/>
        <xdr:cNvSpPr txBox="1"/>
      </xdr:nvSpPr>
      <xdr:spPr>
        <a:xfrm>
          <a:off x="1427163" y="12068175"/>
          <a:ext cx="194454" cy="282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24" name="48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25" name="482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26" name="48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27" name="48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828" name="48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29" name="4828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0" name="4829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1" name="483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2" name="4831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3" name="4832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4" name="4833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5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6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7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8" name="4837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39" name="4838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0" name="4839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1" name="484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2" name="4841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3" name="4842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4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5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6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7" name="484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8" name="4847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49" name="4848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0" name="4849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1" name="485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2" name="4851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3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4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5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6" name="485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7" name="485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8" name="4857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59" name="4858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60" name="4859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61" name="4860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62" name="1184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63" name="1185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452"/>
    <xdr:sp macro="" textlink="">
      <xdr:nvSpPr>
        <xdr:cNvPr id="4864" name="1186 CuadroTexto"/>
        <xdr:cNvSpPr txBox="1"/>
      </xdr:nvSpPr>
      <xdr:spPr>
        <a:xfrm>
          <a:off x="1427163" y="12068175"/>
          <a:ext cx="194454" cy="288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65" name="486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66" name="486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67" name="486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868" name="4867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869" name="4868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870" name="4869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871" name="4870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872" name="4871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873" name="4872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74" name="487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75" name="487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76" name="487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77" name="487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78" name="487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79" name="487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0" name="487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1" name="488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2" name="488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3" name="488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4" name="488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5" name="488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6" name="488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7" name="488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8" name="488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89" name="488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90" name="488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91" name="489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892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893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894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895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96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97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98" name="489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899" name="489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00" name="489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01" name="4900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02" name="4901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03" name="4902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04" name="4903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05" name="4904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06" name="4905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07" name="490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08" name="490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09" name="490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0" name="490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1" name="491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2" name="491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3" name="491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4" name="491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5" name="491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6" name="491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7" name="491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8" name="491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19" name="491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20" name="491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21" name="492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22" name="492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23" name="492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24" name="492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25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26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27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28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29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30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31" name="493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32" name="493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33" name="493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34" name="4933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35" name="4934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36" name="4935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37" name="4936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38" name="4937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39" name="4938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0" name="493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1" name="494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2" name="494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3" name="494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4" name="494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5" name="494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6" name="494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7" name="494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8" name="494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49" name="494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0" name="494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1" name="495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2" name="495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3" name="495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4" name="495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5" name="495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6" name="495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57" name="495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58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59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60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61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62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63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64" name="496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65" name="496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66" name="496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67" name="4966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68" name="4967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69" name="4968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70" name="4969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71" name="4970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20"/>
    <xdr:sp macro="" textlink="">
      <xdr:nvSpPr>
        <xdr:cNvPr id="4972" name="4971 CuadroTexto"/>
        <xdr:cNvSpPr txBox="1"/>
      </xdr:nvSpPr>
      <xdr:spPr>
        <a:xfrm>
          <a:off x="1427163" y="12068175"/>
          <a:ext cx="194454" cy="286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73" name="497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74" name="497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75" name="497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76" name="497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77" name="497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78" name="497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79" name="497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0" name="497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1" name="4980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2" name="4981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3" name="4982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4" name="4983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5" name="4984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6" name="4985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7" name="4986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8" name="498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89" name="498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90" name="4989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91" name="11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92" name="148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93" name="149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652"/>
    <xdr:sp macro="" textlink="">
      <xdr:nvSpPr>
        <xdr:cNvPr id="4994" name="150 CuadroTexto"/>
        <xdr:cNvSpPr txBox="1"/>
      </xdr:nvSpPr>
      <xdr:spPr>
        <a:xfrm>
          <a:off x="1427163" y="12068175"/>
          <a:ext cx="194454" cy="2846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95" name="257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27"/>
    <xdr:sp macro="" textlink="">
      <xdr:nvSpPr>
        <xdr:cNvPr id="4996" name="258 CuadroTexto"/>
        <xdr:cNvSpPr txBox="1"/>
      </xdr:nvSpPr>
      <xdr:spPr>
        <a:xfrm>
          <a:off x="1427163" y="12068175"/>
          <a:ext cx="194454" cy="282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72"/>
    <xdr:sp macro="" textlink="">
      <xdr:nvSpPr>
        <xdr:cNvPr id="4997" name="4996 CuadroTexto"/>
        <xdr:cNvSpPr txBox="1"/>
      </xdr:nvSpPr>
      <xdr:spPr>
        <a:xfrm>
          <a:off x="1427163" y="12068175"/>
          <a:ext cx="194454" cy="28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4998" name="499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4999" name="4998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0" name="4999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1" name="5000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2" name="5001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3" name="5002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4" name="5003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5" name="5004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6" name="5005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7" name="5006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8" name="5007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09" name="5008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410"/>
    <xdr:sp macro="" textlink="">
      <xdr:nvSpPr>
        <xdr:cNvPr id="5010" name="5009 CuadroTexto"/>
        <xdr:cNvSpPr txBox="1"/>
      </xdr:nvSpPr>
      <xdr:spPr>
        <a:xfrm>
          <a:off x="1427163" y="12068175"/>
          <a:ext cx="194454" cy="289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11" name="5010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12" name="5011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13" name="5012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14" name="5013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15" name="5014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16" name="5015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17" name="501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18" name="5017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19" name="5018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20" name="5019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21" name="5020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22" name="5021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23" name="5022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24" name="5023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25" name="5024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26" name="5025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27" name="5026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28" name="5027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29" name="5028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30" name="5029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1" name="503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2" name="503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3" name="5032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4" name="5033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5" name="5034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6" name="5035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7" name="503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8" name="5037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39" name="5038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40" name="5039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41" name="504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42" name="504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43" name="18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44" name="779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45" name="830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46" name="90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47" name="171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48" name="17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49" name="17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50" name="174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51" name="5050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52" name="5051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53" name="5052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54" name="5053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55" name="5054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56" name="5055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57" name="505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58" name="5057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59" name="5058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60" name="5059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61" name="5060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62" name="5061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63" name="5062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64" name="5063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65" name="5064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066" name="5065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67" name="5066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68" name="5067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69" name="5068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70" name="5069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1" name="507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2" name="507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3" name="5072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4" name="5073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5" name="5074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6" name="5075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7" name="507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8" name="5077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79" name="5078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80" name="5079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81" name="508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082" name="508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83" name="18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84" name="779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85" name="830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86" name="90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87" name="171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88" name="17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89" name="17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090" name="174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1" name="509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2" name="509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3" name="509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4" name="509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5" name="509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6" name="509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7" name="509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8" name="509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099" name="509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0" name="509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1" name="510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2" name="510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3" name="510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4" name="510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5" name="510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6" name="510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7" name="510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8" name="510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09" name="510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0" name="510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1" name="511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2" name="511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3" name="511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4" name="511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5" name="511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6" name="511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7" name="511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8" name="511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19" name="511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0" name="511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1" name="512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2" name="512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3" name="512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4" name="512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5" name="512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6" name="512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7" name="512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8" name="512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29" name="512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0" name="512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1" name="513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2" name="513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3" name="513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4" name="513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5" name="513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6" name="513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7" name="513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8" name="513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39" name="513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0" name="513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1" name="514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2" name="514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3" name="514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4" name="514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5" name="514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6" name="514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7" name="514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8" name="514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49" name="514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0" name="514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1" name="515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2" name="515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3" name="515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4" name="515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5" name="515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6" name="515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7" name="515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8" name="515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59" name="515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60" name="515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61" name="516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62" name="516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63" name="516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64" name="516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65" name="516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166" name="516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67" name="5166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68" name="5167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69" name="5168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70" name="5169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71" name="517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72" name="517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73" name="5172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74" name="5173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75" name="5174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76" name="5175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77" name="5176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78" name="5177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79" name="5178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80" name="5179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81" name="5180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182" name="5181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183" name="518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184" name="518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185" name="5184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186" name="5185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87" name="518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88" name="5187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89" name="5188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0" name="5189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1" name="519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2" name="519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3" name="5192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4" name="5193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5" name="5194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6" name="5195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7" name="519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198" name="5197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199" name="18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00" name="779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01" name="830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02" name="90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03" name="171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04" name="17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05" name="17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06" name="174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07" name="5206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08" name="5207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09" name="5208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10" name="5209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11" name="521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12" name="521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13" name="5212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14" name="5213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15" name="5214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16" name="5215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17" name="5216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18" name="5217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19" name="5218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20" name="5219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21" name="5220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819"/>
    <xdr:sp macro="" textlink="">
      <xdr:nvSpPr>
        <xdr:cNvPr id="5222" name="5221 CuadroTexto"/>
        <xdr:cNvSpPr txBox="1"/>
      </xdr:nvSpPr>
      <xdr:spPr>
        <a:xfrm>
          <a:off x="1427163" y="12068175"/>
          <a:ext cx="194454" cy="288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23" name="522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24" name="522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25" name="5224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26" name="5225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27" name="522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28" name="5227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29" name="5228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0" name="5229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1" name="5230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2" name="5231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3" name="5232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4" name="5233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5" name="5234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6" name="5235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7" name="5236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948"/>
    <xdr:sp macro="" textlink="">
      <xdr:nvSpPr>
        <xdr:cNvPr id="5238" name="5237 CuadroTexto"/>
        <xdr:cNvSpPr txBox="1"/>
      </xdr:nvSpPr>
      <xdr:spPr>
        <a:xfrm>
          <a:off x="1427163" y="12068175"/>
          <a:ext cx="194454" cy="282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39" name="18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40" name="779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41" name="830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42" name="90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43" name="171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44" name="172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45" name="173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22"/>
    <xdr:sp macro="" textlink="">
      <xdr:nvSpPr>
        <xdr:cNvPr id="5246" name="174 CuadroTexto"/>
        <xdr:cNvSpPr txBox="1"/>
      </xdr:nvSpPr>
      <xdr:spPr>
        <a:xfrm>
          <a:off x="1427163" y="12068175"/>
          <a:ext cx="194454" cy="28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47" name="524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48" name="524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49" name="524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0" name="524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1" name="525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2" name="525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3" name="525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4" name="525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5" name="525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6" name="525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7" name="525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8" name="525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59" name="525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0" name="525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1" name="526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2" name="526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3" name="526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4" name="526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5" name="526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6" name="526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7" name="526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8" name="526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69" name="526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0" name="526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1" name="527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2" name="527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3" name="527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4" name="527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5" name="527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6" name="527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7" name="527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8" name="527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79" name="527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0" name="527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1" name="528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2" name="528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3" name="528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4" name="528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5" name="528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6" name="528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7" name="528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8" name="528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89" name="528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0" name="528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1" name="529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2" name="529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3" name="529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4" name="529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5" name="529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6" name="529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7" name="529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8" name="529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299" name="529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0" name="529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1" name="530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2" name="530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3" name="530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4" name="530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5" name="530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6" name="530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7" name="530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8" name="530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09" name="530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0" name="530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1" name="531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2" name="531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3" name="5312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4" name="5313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5" name="5314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6" name="5315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7" name="5316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8" name="5317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19" name="5318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20" name="5319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21" name="5320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80"/>
    <xdr:sp macro="" textlink="">
      <xdr:nvSpPr>
        <xdr:cNvPr id="5322" name="5321 CuadroTexto"/>
        <xdr:cNvSpPr txBox="1"/>
      </xdr:nvSpPr>
      <xdr:spPr>
        <a:xfrm>
          <a:off x="1427163" y="12068175"/>
          <a:ext cx="194454" cy="287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23" name="532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24" name="532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25" name="532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26" name="532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27" name="532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28" name="532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29" name="532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0" name="532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1" name="533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2" name="533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3" name="533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4" name="533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5" name="533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6" name="533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7" name="533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8" name="533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39" name="533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0" name="533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1" name="534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2" name="534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3" name="534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4" name="534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5" name="534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6" name="534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7" name="534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8" name="534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49" name="534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0" name="534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1" name="535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2" name="535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3" name="535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4" name="535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5" name="535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6" name="535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7" name="535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8" name="535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59" name="535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0" name="535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1" name="536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2" name="536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3" name="536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4" name="536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5" name="536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6" name="536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7" name="536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8" name="536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69" name="536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0" name="536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1" name="537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2" name="537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3" name="537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4" name="537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5" name="537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6" name="537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7" name="537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8" name="537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79" name="537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0" name="537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1" name="538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2" name="538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3" name="538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4" name="538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5" name="538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6" name="538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7" name="538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8" name="538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89" name="538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0" name="538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1" name="539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2" name="539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3" name="539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4" name="539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5" name="539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6" name="539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7" name="539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8" name="539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399" name="539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0" name="539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1" name="540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2" name="540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3" name="540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4" name="540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5" name="540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6" name="540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7" name="540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8" name="540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09" name="540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0" name="540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1" name="541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2" name="541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3" name="541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4" name="541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5" name="541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6" name="541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7" name="541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8" name="541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19" name="541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0" name="541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1" name="542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2" name="542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3" name="542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4" name="542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5" name="542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6" name="542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7" name="542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8" name="542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29" name="542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0" name="542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1" name="543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2" name="543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3" name="543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4" name="543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5" name="543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6" name="543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7" name="543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8" name="543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39" name="543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0" name="543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1" name="544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2" name="544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3" name="544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4" name="544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5" name="544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6" name="544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7" name="544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8" name="544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49" name="544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0" name="544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1" name="545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2" name="545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3" name="545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4" name="545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5" name="545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6" name="545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7" name="545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8" name="545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59" name="545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0" name="545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1" name="546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2" name="546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3" name="546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4" name="546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5" name="546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6" name="546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7" name="546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8" name="546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69" name="546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0" name="546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1" name="547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2" name="547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3" name="547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4" name="547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5" name="547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6" name="547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7" name="547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8" name="547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79" name="547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0" name="547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1" name="548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2" name="548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3" name="548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4" name="548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5" name="548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6" name="548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7" name="548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8" name="548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89" name="548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0" name="548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1" name="549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2" name="549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3" name="549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4" name="549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5" name="549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6" name="549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7" name="549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8" name="549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499" name="549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0" name="549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1" name="550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2" name="550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3" name="550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4" name="550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5" name="550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6" name="550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7" name="550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8" name="550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09" name="550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0" name="550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1" name="551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2" name="551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3" name="551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4" name="551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5" name="551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6" name="551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7" name="551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8" name="551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19" name="551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0" name="551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1" name="552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2" name="552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3" name="552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4" name="552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5" name="552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6" name="552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7" name="552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8" name="552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29" name="552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0" name="552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1" name="553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2" name="553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3" name="553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4" name="553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5" name="553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6" name="553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7" name="553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8" name="553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39" name="553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0" name="553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1" name="554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2" name="554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3" name="554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4" name="554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5" name="554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6" name="554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7" name="554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8" name="554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49" name="554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0" name="554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1" name="555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2" name="555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3" name="555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4" name="555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5" name="555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6" name="555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7" name="555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8" name="555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59" name="555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0" name="555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1" name="556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2" name="556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3" name="556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4" name="556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5" name="556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6" name="556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7" name="556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8" name="556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69" name="556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0" name="556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1" name="557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2" name="557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3" name="557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4" name="557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5" name="557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6" name="557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7" name="557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8" name="557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79" name="557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0" name="557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1" name="558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2" name="558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3" name="558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4" name="558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5" name="558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6" name="558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7" name="558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8" name="558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89" name="558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0" name="558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1" name="559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2" name="559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3" name="559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4" name="559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5" name="559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6" name="559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7" name="559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8" name="559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599" name="559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0" name="559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1" name="560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2" name="560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3" name="560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4" name="560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5" name="560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6" name="560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7" name="560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8" name="560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09" name="560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0" name="560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1" name="561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2" name="561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3" name="561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4" name="561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5" name="561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6" name="561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7" name="5616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8" name="5617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19" name="5618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20" name="5619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21" name="5620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22" name="5621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23" name="5622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24" name="5623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25" name="5624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189"/>
    <xdr:sp macro="" textlink="">
      <xdr:nvSpPr>
        <xdr:cNvPr id="5626" name="5625 CuadroTexto"/>
        <xdr:cNvSpPr txBox="1"/>
      </xdr:nvSpPr>
      <xdr:spPr>
        <a:xfrm>
          <a:off x="1427163" y="12068175"/>
          <a:ext cx="194454" cy="28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27" name="28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28" name="80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29" name="839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30" name="91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31" name="28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32" name="80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33" name="839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34" name="91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35" name="28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36" name="802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37" name="839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38" name="912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39" name="28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40" name="80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41" name="839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42" name="91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43" name="28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44" name="80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45" name="839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492"/>
    <xdr:sp macro="" textlink="">
      <xdr:nvSpPr>
        <xdr:cNvPr id="5646" name="912 CuadroTexto"/>
        <xdr:cNvSpPr txBox="1"/>
      </xdr:nvSpPr>
      <xdr:spPr>
        <a:xfrm>
          <a:off x="1427163" y="12068175"/>
          <a:ext cx="194454" cy="28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47" name="28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48" name="802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49" name="839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2"/>
    <xdr:sp macro="" textlink="">
      <xdr:nvSpPr>
        <xdr:cNvPr id="5650" name="912 CuadroTexto"/>
        <xdr:cNvSpPr txBox="1"/>
      </xdr:nvSpPr>
      <xdr:spPr>
        <a:xfrm>
          <a:off x="1427163" y="12068175"/>
          <a:ext cx="194454" cy="28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51" name="5650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52" name="5651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53" name="5652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54" name="5653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55" name="5654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56" name="5655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127"/>
    <xdr:sp macro="" textlink="">
      <xdr:nvSpPr>
        <xdr:cNvPr id="5657" name="5656 CuadroTexto"/>
        <xdr:cNvSpPr txBox="1"/>
      </xdr:nvSpPr>
      <xdr:spPr>
        <a:xfrm>
          <a:off x="1427163" y="12068175"/>
          <a:ext cx="194454" cy="286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52"/>
    <xdr:sp macro="" textlink="">
      <xdr:nvSpPr>
        <xdr:cNvPr id="5658" name="5657 CuadroTexto"/>
        <xdr:cNvSpPr txBox="1"/>
      </xdr:nvSpPr>
      <xdr:spPr>
        <a:xfrm>
          <a:off x="1427163" y="12068175"/>
          <a:ext cx="194454" cy="285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52"/>
    <xdr:sp macro="" textlink="">
      <xdr:nvSpPr>
        <xdr:cNvPr id="5659" name="5658 CuadroTexto"/>
        <xdr:cNvSpPr txBox="1"/>
      </xdr:nvSpPr>
      <xdr:spPr>
        <a:xfrm>
          <a:off x="1427163" y="12068175"/>
          <a:ext cx="194454" cy="285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0" name="5659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1" name="5660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2" name="5661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3" name="5662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4" name="5663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5" name="5664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6" name="5665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7" name="5666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8" name="5667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69" name="260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0" name="261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1" name="262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2" name="263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3" name="264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4" name="265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5" name="266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6" name="267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7" name="268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02"/>
    <xdr:sp macro="" textlink="">
      <xdr:nvSpPr>
        <xdr:cNvPr id="5678" name="566 CuadroTexto"/>
        <xdr:cNvSpPr txBox="1"/>
      </xdr:nvSpPr>
      <xdr:spPr>
        <a:xfrm>
          <a:off x="1427163" y="12068175"/>
          <a:ext cx="194454" cy="28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79" name="567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80" name="568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81" name="5680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82" name="5681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83" name="5682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84" name="5683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85" name="5684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86" name="5685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127"/>
    <xdr:sp macro="" textlink="">
      <xdr:nvSpPr>
        <xdr:cNvPr id="5687" name="5686 CuadroTexto"/>
        <xdr:cNvSpPr txBox="1"/>
      </xdr:nvSpPr>
      <xdr:spPr>
        <a:xfrm>
          <a:off x="1427163" y="12068175"/>
          <a:ext cx="194454" cy="286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52"/>
    <xdr:sp macro="" textlink="">
      <xdr:nvSpPr>
        <xdr:cNvPr id="5688" name="5687 CuadroTexto"/>
        <xdr:cNvSpPr txBox="1"/>
      </xdr:nvSpPr>
      <xdr:spPr>
        <a:xfrm>
          <a:off x="1427163" y="12068175"/>
          <a:ext cx="194454" cy="285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52"/>
    <xdr:sp macro="" textlink="">
      <xdr:nvSpPr>
        <xdr:cNvPr id="5689" name="5688 CuadroTexto"/>
        <xdr:cNvSpPr txBox="1"/>
      </xdr:nvSpPr>
      <xdr:spPr>
        <a:xfrm>
          <a:off x="1427163" y="12068175"/>
          <a:ext cx="194454" cy="285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0" name="5689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1" name="5690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2" name="5691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3" name="5692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4" name="5693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5" name="5694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6" name="5695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7" name="5696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8" name="5697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699" name="260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0" name="261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1" name="262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2" name="263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3" name="264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4" name="265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5" name="266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6" name="267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7" name="268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302"/>
    <xdr:sp macro="" textlink="">
      <xdr:nvSpPr>
        <xdr:cNvPr id="5708" name="566 CuadroTexto"/>
        <xdr:cNvSpPr txBox="1"/>
      </xdr:nvSpPr>
      <xdr:spPr>
        <a:xfrm>
          <a:off x="1427163" y="12068175"/>
          <a:ext cx="194454" cy="28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09" name="567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612"/>
    <xdr:sp macro="" textlink="">
      <xdr:nvSpPr>
        <xdr:cNvPr id="5710" name="568 CuadroTexto"/>
        <xdr:cNvSpPr txBox="1"/>
      </xdr:nvSpPr>
      <xdr:spPr>
        <a:xfrm>
          <a:off x="1427163" y="12068175"/>
          <a:ext cx="194454" cy="288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1" name="5710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2" name="5711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3" name="5712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4" name="5713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5" name="5714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6" name="5715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7" name="5716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8" name="5717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19" name="5718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0" name="5719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1" name="5720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2" name="5721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3" name="5722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4" name="5723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5" name="5724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6" name="5725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7" name="5726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8" name="5727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29" name="5728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30" name="5729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31" name="5730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32" name="5731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33" name="5732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4548"/>
    <xdr:sp macro="" textlink="">
      <xdr:nvSpPr>
        <xdr:cNvPr id="5734" name="5733 CuadroTexto"/>
        <xdr:cNvSpPr txBox="1"/>
      </xdr:nvSpPr>
      <xdr:spPr>
        <a:xfrm>
          <a:off x="1427163" y="12068175"/>
          <a:ext cx="194454" cy="28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35" name="5734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36" name="5735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37" name="5736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38" name="5737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39" name="5738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0" name="5739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1" name="5740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2" name="5741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3" name="5742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4" name="5743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5" name="5744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6" name="5745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7" name="5746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8" name="5747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49" name="5748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0" name="5749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1" name="5750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2" name="5751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3" name="5752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4" name="5753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5" name="5754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6" name="5755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7" name="5756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8" name="5757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59" name="5758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0" name="5759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1" name="5760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2" name="5761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3" name="5762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4" name="5763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5" name="5764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6" name="5765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7" name="5766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8" name="5767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69" name="5768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70" name="5769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71" name="5770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569"/>
    <xdr:sp macro="" textlink="">
      <xdr:nvSpPr>
        <xdr:cNvPr id="5772" name="5771 CuadroTexto"/>
        <xdr:cNvSpPr txBox="1"/>
      </xdr:nvSpPr>
      <xdr:spPr>
        <a:xfrm>
          <a:off x="1427163" y="12068175"/>
          <a:ext cx="194454" cy="28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73" name="1320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74" name="1321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75" name="1322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76" name="1323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77" name="1324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78" name="1325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79" name="1326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0" name="1327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1" name="1328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2" name="1320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3" name="1321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4" name="1322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5" name="1323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6" name="1324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7" name="1325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8" name="1326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89" name="1327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390"/>
    <xdr:sp macro="" textlink="">
      <xdr:nvSpPr>
        <xdr:cNvPr id="5790" name="1328 CuadroTexto"/>
        <xdr:cNvSpPr txBox="1"/>
      </xdr:nvSpPr>
      <xdr:spPr>
        <a:xfrm>
          <a:off x="1427163" y="12068175"/>
          <a:ext cx="194454" cy="287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1" name="579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2" name="579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3" name="579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4" name="579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5" name="579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6" name="579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7" name="579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8" name="579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799" name="579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0" name="579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1" name="580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2" name="580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3" name="580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4" name="580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5" name="580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6" name="580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7" name="580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8" name="580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09" name="580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0" name="580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1" name="581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2" name="581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3" name="581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4" name="581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5" name="581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6" name="581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7" name="581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8" name="581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19" name="581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0" name="581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1" name="582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2" name="582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3" name="582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4" name="582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5" name="582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6" name="582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7" name="582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8" name="582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29" name="582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0" name="582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1" name="583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2" name="583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3" name="583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4" name="583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5" name="583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6" name="583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7" name="583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8" name="583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39" name="583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0" name="583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1" name="584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2" name="584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3" name="584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4" name="584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5" name="584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6" name="584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7" name="584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8" name="584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49" name="584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0" name="584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1" name="585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2" name="585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3" name="585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4" name="585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5" name="585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6" name="585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7" name="585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8" name="585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59" name="585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0" name="585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1" name="586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2" name="586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3" name="586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4" name="586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5" name="586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6" name="586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7" name="586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8" name="586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69" name="586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0" name="586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1" name="587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2" name="587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3" name="587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4" name="587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5" name="587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6" name="587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7" name="5876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8" name="5877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79" name="5878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80" name="5879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81" name="5880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82" name="5881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83" name="5882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84" name="5883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85" name="5884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303"/>
    <xdr:sp macro="" textlink="">
      <xdr:nvSpPr>
        <xdr:cNvPr id="5886" name="5885 CuadroTexto"/>
        <xdr:cNvSpPr txBox="1"/>
      </xdr:nvSpPr>
      <xdr:spPr>
        <a:xfrm>
          <a:off x="1427163" y="12068175"/>
          <a:ext cx="194454" cy="285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87" name="5886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888" name="5887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89" name="5888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90" name="5889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91" name="5890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892" name="5891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93" name="5892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894" name="5893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95" name="5894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96" name="5895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897" name="5896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98" name="5897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899" name="5898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900" name="5899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901" name="5900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902" name="5901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903" name="5902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904" name="5903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905" name="5904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906" name="5905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907" name="5906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908" name="5907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231"/>
    <xdr:sp macro="" textlink="">
      <xdr:nvSpPr>
        <xdr:cNvPr id="5909" name="5908 CuadroTexto"/>
        <xdr:cNvSpPr txBox="1"/>
      </xdr:nvSpPr>
      <xdr:spPr>
        <a:xfrm>
          <a:off x="1427163" y="12068175"/>
          <a:ext cx="194454" cy="282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12"/>
    <xdr:sp macro="" textlink="">
      <xdr:nvSpPr>
        <xdr:cNvPr id="5910" name="5909 CuadroTexto"/>
        <xdr:cNvSpPr txBox="1"/>
      </xdr:nvSpPr>
      <xdr:spPr>
        <a:xfrm>
          <a:off x="1427163" y="12068175"/>
          <a:ext cx="194454" cy="28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1" name="5910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2" name="5911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3" name="5912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4" name="5913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5" name="5914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6" name="5915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7" name="5916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8" name="5917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19" name="5918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20" name="5919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21" name="5920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22" name="5921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23" name="5922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24" name="5923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25" name="5924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108"/>
    <xdr:sp macro="" textlink="">
      <xdr:nvSpPr>
        <xdr:cNvPr id="5926" name="5925 CuadroTexto"/>
        <xdr:cNvSpPr txBox="1"/>
      </xdr:nvSpPr>
      <xdr:spPr>
        <a:xfrm>
          <a:off x="1427163" y="12068175"/>
          <a:ext cx="194454" cy="287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27" name="59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28" name="59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29" name="59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0" name="592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1" name="593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2" name="593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3" name="59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4" name="593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5" name="59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6" name="593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7" name="593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8" name="593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39" name="593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0" name="59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1" name="59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2" name="59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3" name="59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4" name="59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5" name="59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6" name="594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7" name="594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8" name="594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49" name="59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0" name="59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1" name="59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2" name="59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3" name="595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4" name="595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5" name="59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6" name="59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7" name="59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8" name="59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59" name="59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0" name="595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1" name="59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2" name="596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3" name="596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4" name="59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5" name="59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6" name="59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7" name="59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8" name="59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69" name="59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70" name="59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71" name="59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72" name="59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73" name="597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5974" name="59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75" name="597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76" name="597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77" name="597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78" name="597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79" name="597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0" name="597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1" name="5980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2" name="5981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3" name="5982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4" name="5983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5" name="598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6" name="598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7" name="598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8" name="598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89" name="598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0" name="598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1" name="5990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2" name="5991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3" name="5992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4" name="5993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5" name="599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6" name="599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7" name="599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8" name="599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5999" name="599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0" name="599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1" name="6000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2" name="6001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3" name="6002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4" name="6003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5" name="600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6" name="600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7" name="600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8" name="600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09" name="600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0" name="600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1" name="6010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2" name="6011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3" name="6012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4" name="6013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5" name="601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6" name="601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7" name="601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8" name="601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19" name="601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0" name="601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1" name="6020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2" name="6021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3" name="6022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4" name="6023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5" name="602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6" name="602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7" name="602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8" name="602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29" name="602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0" name="602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1" name="6030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2" name="6031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3" name="6032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4" name="6033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5" name="603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6" name="603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7" name="603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8" name="603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39" name="603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0" name="603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1" name="6040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2" name="6041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3" name="6042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4" name="6043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5" name="6044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6" name="6045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7" name="6046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8" name="6047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49" name="6048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92"/>
    <xdr:sp macro="" textlink="">
      <xdr:nvSpPr>
        <xdr:cNvPr id="6050" name="6049 CuadroTexto"/>
        <xdr:cNvSpPr txBox="1"/>
      </xdr:nvSpPr>
      <xdr:spPr>
        <a:xfrm>
          <a:off x="1427163" y="12068175"/>
          <a:ext cx="194454" cy="286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1" name="60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2" name="60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3" name="605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4" name="605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5" name="60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6" name="60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7" name="60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8" name="60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59" name="605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0" name="605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1" name="606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2" name="606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3" name="606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4" name="60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5" name="60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6" name="60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7" name="60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8" name="60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69" name="60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0" name="60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1" name="60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2" name="60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3" name="607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4" name="60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5" name="60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6" name="60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7" name="60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8" name="60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79" name="60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0" name="60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1" name="60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2" name="60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3" name="60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4" name="60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5" name="60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6" name="60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7" name="60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8" name="60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89" name="60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0" name="60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1" name="60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2" name="609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3" name="609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4" name="609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5" name="609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6" name="609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7" name="609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8" name="609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099" name="609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0" name="609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1" name="610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2" name="610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3" name="610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4" name="610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5" name="610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6" name="610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7" name="610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8" name="61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09" name="61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0" name="610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1" name="61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2" name="61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3" name="61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4" name="61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5" name="61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6" name="61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7" name="611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8" name="611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19" name="61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0" name="611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1" name="61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2" name="612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3" name="612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4" name="61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5" name="612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6" name="61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7" name="61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8" name="61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29" name="61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0" name="612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1" name="613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2" name="613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3" name="61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4" name="613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5" name="61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6" name="613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7" name="613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8" name="613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39" name="613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40" name="61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41" name="61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42" name="61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43" name="61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44" name="61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45" name="61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46" name="614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47" name="6146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48" name="6147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49" name="6148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0" name="6149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1" name="6150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2" name="6151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3" name="6152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4" name="6153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5" name="6154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6" name="6155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7" name="6156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8" name="6157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59" name="6158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60" name="6159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61" name="6160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162" name="6161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63" name="616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64" name="616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65" name="616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66" name="616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67" name="616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68" name="616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69" name="616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0" name="616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1" name="617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2" name="617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3" name="617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4" name="617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5" name="617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6" name="617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7" name="617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8" name="617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79" name="617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0" name="617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1" name="618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2" name="618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3" name="618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4" name="618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5" name="618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6" name="618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7" name="618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8" name="618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89" name="618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0" name="618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1" name="619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2" name="619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3" name="619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4" name="619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5" name="619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6" name="619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7" name="619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8" name="619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199" name="619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0" name="619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1" name="620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2" name="620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3" name="620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4" name="620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5" name="620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6" name="620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7" name="620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8" name="620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09" name="620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0" name="620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1" name="621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2" name="621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3" name="621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4" name="621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5" name="621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6" name="621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7" name="621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8" name="621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19" name="621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0" name="621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1" name="622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2" name="622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3" name="622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4" name="622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5" name="622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6" name="622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7" name="622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8" name="622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29" name="622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0" name="622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1" name="623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2" name="623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3" name="623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4" name="623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5" name="623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6" name="623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7" name="623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8" name="623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39" name="623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0" name="623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1" name="624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2" name="624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3" name="624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4" name="624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5" name="624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6" name="624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7" name="624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8" name="624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49" name="6248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0" name="6249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1" name="6250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2" name="6251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3" name="6252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4" name="6253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5" name="6254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6" name="6255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7" name="6256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3458"/>
    <xdr:sp macro="" textlink="">
      <xdr:nvSpPr>
        <xdr:cNvPr id="6258" name="6257 CuadroTexto"/>
        <xdr:cNvSpPr txBox="1"/>
      </xdr:nvSpPr>
      <xdr:spPr>
        <a:xfrm>
          <a:off x="1427163" y="12068175"/>
          <a:ext cx="19445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59" name="6258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0" name="6259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1" name="6260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2" name="6261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3" name="6262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4" name="6263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5" name="6264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6" name="6265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7" name="6266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8" name="6267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69" name="6268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70" name="6269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71" name="6270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72" name="6271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73" name="6272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2698"/>
    <xdr:sp macro="" textlink="">
      <xdr:nvSpPr>
        <xdr:cNvPr id="6274" name="6273 CuadroTexto"/>
        <xdr:cNvSpPr txBox="1"/>
      </xdr:nvSpPr>
      <xdr:spPr>
        <a:xfrm>
          <a:off x="1427163" y="12068175"/>
          <a:ext cx="194454" cy="2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75" name="6274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76" name="6275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77" name="6276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78" name="6277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79" name="6278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80" name="6279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81" name="6280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82" name="6281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83" name="6282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84" name="6283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85" name="6284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86" name="6285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87" name="6286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88" name="6287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89" name="6288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0" name="6289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1" name="6290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2" name="6291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3" name="6292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4" name="6293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5" name="6294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6" name="6295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7" name="6296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298" name="6297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299" name="6298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300" name="6299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301" name="6300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302" name="6301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303" name="6302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304" name="6303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305" name="6304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452"/>
    <xdr:sp macro="" textlink="">
      <xdr:nvSpPr>
        <xdr:cNvPr id="6306" name="6305 CuadroTexto"/>
        <xdr:cNvSpPr txBox="1"/>
      </xdr:nvSpPr>
      <xdr:spPr>
        <a:xfrm>
          <a:off x="1427163" y="12068175"/>
          <a:ext cx="194454" cy="286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07" name="6306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08" name="6307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09" name="6308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0" name="6309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1" name="6310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2" name="6311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3" name="6312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4" name="6313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5" name="6314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6" name="6315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7" name="6316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8" name="6317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19" name="6318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0" name="6319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1" name="6320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2" name="6321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3" name="6322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4" name="6323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5" name="6324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6" name="6325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7" name="6326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8" name="6327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29" name="6328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0" name="6329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1" name="6330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2" name="6331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3" name="6332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4" name="6333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5" name="6334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6" name="6335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7" name="6336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530"/>
    <xdr:sp macro="" textlink="">
      <xdr:nvSpPr>
        <xdr:cNvPr id="6338" name="6337 CuadroTexto"/>
        <xdr:cNvSpPr txBox="1"/>
      </xdr:nvSpPr>
      <xdr:spPr>
        <a:xfrm>
          <a:off x="1427163" y="12068175"/>
          <a:ext cx="194454" cy="28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39" name="6338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0" name="6339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1" name="6340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2" name="6341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3" name="6342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4" name="6343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5" name="6344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6" name="6345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7" name="6346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8" name="6347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49" name="6348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50" name="6349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51" name="6350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52" name="6351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53" name="6352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57"/>
    <xdr:sp macro="" textlink="">
      <xdr:nvSpPr>
        <xdr:cNvPr id="6354" name="6353 CuadroTexto"/>
        <xdr:cNvSpPr txBox="1"/>
      </xdr:nvSpPr>
      <xdr:spPr>
        <a:xfrm>
          <a:off x="1427163" y="12068175"/>
          <a:ext cx="194454" cy="288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55" name="6354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356" name="6355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57" name="6356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58" name="6357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59" name="6358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360" name="6359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61" name="6360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362" name="6361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63" name="6362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64" name="6363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365" name="6364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66" name="6365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67" name="6366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68" name="6367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69" name="6368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70" name="6369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71" name="6370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72" name="6371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73" name="6372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374" name="6373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75" name="6374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76" name="6375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77" name="6376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78" name="6377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79" name="6378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0" name="6379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1" name="6380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2" name="6381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3" name="6382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4" name="6383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5" name="6384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6" name="6385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7" name="6386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8" name="6387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89" name="6388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390" name="6389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91" name="6390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392" name="6391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93" name="6392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94" name="6393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95" name="6394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396" name="6395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97" name="6396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398" name="6397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399" name="6398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400" name="6399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5860"/>
    <xdr:sp macro="" textlink="">
      <xdr:nvSpPr>
        <xdr:cNvPr id="6401" name="6400 CuadroTexto"/>
        <xdr:cNvSpPr txBox="1"/>
      </xdr:nvSpPr>
      <xdr:spPr>
        <a:xfrm>
          <a:off x="1427163" y="12068175"/>
          <a:ext cx="194454" cy="285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368"/>
    <xdr:sp macro="" textlink="">
      <xdr:nvSpPr>
        <xdr:cNvPr id="6402" name="6401 CuadroTexto"/>
        <xdr:cNvSpPr txBox="1"/>
      </xdr:nvSpPr>
      <xdr:spPr>
        <a:xfrm>
          <a:off x="1427163" y="12068175"/>
          <a:ext cx="194454" cy="28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03" name="6402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04" name="6403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05" name="6404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06" name="6405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07" name="6406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08" name="6407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09" name="6408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9217"/>
    <xdr:sp macro="" textlink="">
      <xdr:nvSpPr>
        <xdr:cNvPr id="6410" name="6409 CuadroTexto"/>
        <xdr:cNvSpPr txBox="1"/>
      </xdr:nvSpPr>
      <xdr:spPr>
        <a:xfrm>
          <a:off x="1427163" y="12068175"/>
          <a:ext cx="194454" cy="28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1" name="6410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2" name="6411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3" name="6412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4" name="6413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5" name="6414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6" name="6415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7" name="6416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8" name="6417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19" name="6418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20" name="6419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21" name="6420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22" name="6421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23" name="6422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24" name="6423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25" name="6424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7769"/>
    <xdr:sp macro="" textlink="">
      <xdr:nvSpPr>
        <xdr:cNvPr id="6426" name="6425 CuadroTexto"/>
        <xdr:cNvSpPr txBox="1"/>
      </xdr:nvSpPr>
      <xdr:spPr>
        <a:xfrm>
          <a:off x="1427163" y="12068175"/>
          <a:ext cx="194454" cy="2877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27" name="6426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28" name="6427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29" name="6428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0" name="6429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1" name="6430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2" name="6431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3" name="6432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4" name="6433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5" name="6434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6" name="6435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7" name="6436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6037"/>
    <xdr:sp macro="" textlink="">
      <xdr:nvSpPr>
        <xdr:cNvPr id="6438" name="6437 CuadroTexto"/>
        <xdr:cNvSpPr txBox="1"/>
      </xdr:nvSpPr>
      <xdr:spPr>
        <a:xfrm>
          <a:off x="1427163" y="12068175"/>
          <a:ext cx="194454" cy="286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39" name="498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0" name="817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1" name="861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2" name="935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3" name="498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4" name="817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5" name="861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6" name="935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7" name="498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8" name="817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49" name="861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50" name="935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51" name="498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52" name="817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53" name="861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1427163</xdr:colOff>
      <xdr:row>33</xdr:row>
      <xdr:rowOff>0</xdr:rowOff>
    </xdr:from>
    <xdr:ext cx="194454" cy="288909"/>
    <xdr:sp macro="" textlink="">
      <xdr:nvSpPr>
        <xdr:cNvPr id="6454" name="935 CuadroTexto"/>
        <xdr:cNvSpPr txBox="1"/>
      </xdr:nvSpPr>
      <xdr:spPr>
        <a:xfrm>
          <a:off x="1427163" y="12068175"/>
          <a:ext cx="194454" cy="288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1"/>
  <sheetViews>
    <sheetView tabSelected="1" zoomScale="115" zoomScaleNormal="115" zoomScaleSheetLayoutView="40" zoomScalePageLayoutView="8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A14" sqref="A14:G14"/>
    </sheetView>
  </sheetViews>
  <sheetFormatPr baseColWidth="10" defaultColWidth="10.42578125" defaultRowHeight="18.75" x14ac:dyDescent="0.3"/>
  <cols>
    <col min="1" max="1" width="49.5703125" style="23" customWidth="1"/>
    <col min="2" max="2" width="12.5703125" style="23" customWidth="1"/>
    <col min="3" max="3" width="12.7109375" style="23" customWidth="1"/>
    <col min="4" max="4" width="18" style="23" customWidth="1"/>
    <col min="5" max="5" width="21.7109375" style="207" customWidth="1"/>
    <col min="6" max="6" width="20.140625" style="23" customWidth="1"/>
    <col min="7" max="7" width="24.42578125" style="200" customWidth="1"/>
    <col min="8" max="8" width="2.42578125" style="23" customWidth="1"/>
    <col min="9" max="15" width="5" style="23" customWidth="1"/>
    <col min="16" max="16" width="10.42578125" style="23" customWidth="1"/>
    <col min="17" max="17" width="21.7109375" style="200" customWidth="1"/>
    <col min="18" max="18" width="20" style="200" customWidth="1"/>
    <col min="19" max="20" width="12.42578125" style="23" customWidth="1"/>
    <col min="21" max="21" width="26" style="23" customWidth="1"/>
    <col min="22" max="22" width="19.5703125" style="21" customWidth="1"/>
    <col min="23" max="23" width="14" style="22" customWidth="1"/>
    <col min="24" max="24" width="17.85546875" style="23" customWidth="1"/>
    <col min="25" max="25" width="15.85546875" style="23" customWidth="1"/>
    <col min="26" max="26" width="10.42578125" style="23"/>
    <col min="27" max="27" width="15" style="23" customWidth="1"/>
    <col min="28" max="16384" width="10.42578125" style="23"/>
  </cols>
  <sheetData>
    <row r="1" spans="1:22" x14ac:dyDescent="0.3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80"/>
    </row>
    <row r="2" spans="1:22" ht="17.25" customHeight="1" thickBot="1" x14ac:dyDescent="0.35">
      <c r="A2" s="24"/>
      <c r="B2" s="25"/>
      <c r="C2" s="25"/>
      <c r="D2" s="25"/>
      <c r="E2" s="26"/>
      <c r="F2" s="27"/>
      <c r="G2" s="28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27"/>
      <c r="T2" s="27"/>
      <c r="U2" s="27"/>
      <c r="V2" s="23"/>
    </row>
    <row r="3" spans="1:22" ht="15.75" customHeight="1" thickBot="1" x14ac:dyDescent="0.35">
      <c r="A3" s="281" t="s">
        <v>1</v>
      </c>
      <c r="B3" s="282"/>
      <c r="C3" s="282"/>
      <c r="D3" s="282"/>
      <c r="E3" s="282"/>
      <c r="F3" s="282"/>
      <c r="G3" s="283"/>
      <c r="H3" s="29"/>
      <c r="I3" s="284" t="s">
        <v>2</v>
      </c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6"/>
      <c r="V3" s="23"/>
    </row>
    <row r="4" spans="1:22" ht="83.25" customHeight="1" thickBot="1" x14ac:dyDescent="0.35">
      <c r="A4" s="209" t="s">
        <v>3</v>
      </c>
      <c r="B4" s="210" t="s">
        <v>4</v>
      </c>
      <c r="C4" s="209" t="s">
        <v>5</v>
      </c>
      <c r="D4" s="209" t="s">
        <v>6</v>
      </c>
      <c r="E4" s="211" t="s">
        <v>7</v>
      </c>
      <c r="F4" s="212" t="s">
        <v>8</v>
      </c>
      <c r="G4" s="213" t="s">
        <v>12</v>
      </c>
      <c r="H4" s="30"/>
      <c r="I4" s="214" t="s">
        <v>181</v>
      </c>
      <c r="J4" s="214" t="s">
        <v>186</v>
      </c>
      <c r="K4" s="215" t="s">
        <v>182</v>
      </c>
      <c r="L4" s="214" t="s">
        <v>188</v>
      </c>
      <c r="M4" s="215" t="s">
        <v>189</v>
      </c>
      <c r="N4" s="214" t="s">
        <v>190</v>
      </c>
      <c r="O4" s="215" t="s">
        <v>191</v>
      </c>
      <c r="P4" s="209" t="s">
        <v>13</v>
      </c>
      <c r="Q4" s="216" t="s">
        <v>338</v>
      </c>
      <c r="R4" s="217" t="s">
        <v>9</v>
      </c>
      <c r="S4" s="209" t="s">
        <v>6</v>
      </c>
      <c r="T4" s="218" t="s">
        <v>10</v>
      </c>
      <c r="U4" s="218" t="s">
        <v>11</v>
      </c>
      <c r="V4" s="23"/>
    </row>
    <row r="5" spans="1:22" ht="17.25" customHeight="1" thickBot="1" x14ac:dyDescent="0.35">
      <c r="A5" s="24"/>
      <c r="B5" s="25"/>
      <c r="C5" s="25"/>
      <c r="D5" s="25"/>
      <c r="E5" s="26"/>
      <c r="F5" s="31"/>
      <c r="G5" s="28"/>
      <c r="H5" s="32"/>
      <c r="I5" s="33"/>
      <c r="J5" s="33"/>
      <c r="K5" s="33"/>
      <c r="L5" s="33"/>
      <c r="M5" s="33"/>
      <c r="N5" s="33"/>
      <c r="O5" s="33"/>
      <c r="P5" s="33"/>
      <c r="Q5" s="34"/>
      <c r="R5" s="34"/>
      <c r="S5" s="33"/>
      <c r="T5" s="35"/>
      <c r="U5" s="35"/>
      <c r="V5" s="23"/>
    </row>
    <row r="6" spans="1:22" ht="16.5" customHeight="1" x14ac:dyDescent="0.3">
      <c r="A6" s="36" t="s">
        <v>14</v>
      </c>
      <c r="B6" s="37"/>
      <c r="C6" s="37"/>
      <c r="D6" s="37"/>
      <c r="E6" s="38"/>
      <c r="F6" s="37"/>
      <c r="G6" s="39"/>
      <c r="H6" s="40"/>
      <c r="I6" s="220"/>
      <c r="J6" s="221"/>
      <c r="K6" s="221"/>
      <c r="L6" s="222"/>
      <c r="M6" s="222"/>
      <c r="N6" s="222"/>
      <c r="O6" s="222"/>
      <c r="P6" s="221"/>
      <c r="Q6" s="223"/>
      <c r="R6" s="224"/>
      <c r="S6" s="225"/>
      <c r="T6" s="225"/>
      <c r="U6" s="226"/>
      <c r="V6" s="23"/>
    </row>
    <row r="7" spans="1:22" ht="16.5" customHeight="1" x14ac:dyDescent="0.3">
      <c r="A7" s="45" t="s">
        <v>15</v>
      </c>
      <c r="B7" s="46"/>
      <c r="C7" s="47">
        <v>1</v>
      </c>
      <c r="D7" s="46"/>
      <c r="E7" s="48">
        <v>1</v>
      </c>
      <c r="F7" s="49">
        <v>4156226945</v>
      </c>
      <c r="G7" s="50">
        <f>F7</f>
        <v>4156226945</v>
      </c>
      <c r="H7" s="40"/>
      <c r="I7" s="227"/>
      <c r="J7" s="51"/>
      <c r="K7" s="41"/>
      <c r="L7" s="51"/>
      <c r="M7" s="42"/>
      <c r="N7" s="42"/>
      <c r="O7" s="42"/>
      <c r="P7" s="41"/>
      <c r="Q7" s="17"/>
      <c r="R7" s="43">
        <v>0</v>
      </c>
      <c r="S7" s="44">
        <f>+D7+0</f>
        <v>0</v>
      </c>
      <c r="T7" s="52">
        <f>+E7+P7</f>
        <v>1</v>
      </c>
      <c r="U7" s="236">
        <f>+R7+G7</f>
        <v>4156226945</v>
      </c>
      <c r="V7" s="114">
        <f>+G7+R7-U7</f>
        <v>0</v>
      </c>
    </row>
    <row r="8" spans="1:22" ht="24" customHeight="1" x14ac:dyDescent="0.3">
      <c r="A8" s="53" t="s">
        <v>154</v>
      </c>
      <c r="B8" s="46"/>
      <c r="C8" s="47"/>
      <c r="D8" s="46"/>
      <c r="E8" s="48"/>
      <c r="F8" s="54">
        <v>4156226945</v>
      </c>
      <c r="G8" s="55">
        <f>G7</f>
        <v>4156226945</v>
      </c>
      <c r="H8" s="40"/>
      <c r="I8" s="227"/>
      <c r="J8" s="51"/>
      <c r="K8" s="41"/>
      <c r="L8" s="51"/>
      <c r="M8" s="42"/>
      <c r="N8" s="42"/>
      <c r="O8" s="42"/>
      <c r="P8" s="41"/>
      <c r="Q8" s="17"/>
      <c r="R8" s="102">
        <f>R7</f>
        <v>0</v>
      </c>
      <c r="S8" s="44"/>
      <c r="T8" s="44"/>
      <c r="U8" s="236">
        <f>+G8</f>
        <v>4156226945</v>
      </c>
      <c r="V8" s="114">
        <f t="shared" ref="V8:V71" si="0">+G8+R8-U8</f>
        <v>0</v>
      </c>
    </row>
    <row r="9" spans="1:22" ht="16.5" customHeight="1" x14ac:dyDescent="0.3">
      <c r="A9" s="56" t="s">
        <v>16</v>
      </c>
      <c r="B9" s="57"/>
      <c r="C9" s="64"/>
      <c r="D9" s="57"/>
      <c r="E9" s="59"/>
      <c r="F9" s="60"/>
      <c r="G9" s="61"/>
      <c r="H9" s="40"/>
      <c r="I9" s="230"/>
      <c r="J9" s="41"/>
      <c r="K9" s="41"/>
      <c r="L9" s="42"/>
      <c r="M9" s="42"/>
      <c r="N9" s="42"/>
      <c r="O9" s="42"/>
      <c r="P9" s="41"/>
      <c r="Q9" s="17"/>
      <c r="R9" s="43">
        <v>0</v>
      </c>
      <c r="S9" s="44">
        <f t="shared" ref="S9:S15" si="1">+D9+0</f>
        <v>0</v>
      </c>
      <c r="T9" s="44"/>
      <c r="U9" s="236"/>
      <c r="V9" s="114">
        <f t="shared" si="0"/>
        <v>0</v>
      </c>
    </row>
    <row r="10" spans="1:22" ht="16.5" customHeight="1" x14ac:dyDescent="0.3">
      <c r="A10" s="62" t="s">
        <v>17</v>
      </c>
      <c r="B10" s="57"/>
      <c r="C10" s="64">
        <v>1</v>
      </c>
      <c r="D10" s="57"/>
      <c r="E10" s="59">
        <v>1</v>
      </c>
      <c r="F10" s="49">
        <v>4000000</v>
      </c>
      <c r="G10" s="50">
        <f>F10</f>
        <v>4000000</v>
      </c>
      <c r="H10" s="40"/>
      <c r="I10" s="230"/>
      <c r="J10" s="41"/>
      <c r="K10" s="41"/>
      <c r="L10" s="42"/>
      <c r="M10" s="42"/>
      <c r="N10" s="42"/>
      <c r="O10" s="42"/>
      <c r="P10" s="41"/>
      <c r="Q10" s="17"/>
      <c r="R10" s="43">
        <v>0</v>
      </c>
      <c r="S10" s="44">
        <f t="shared" si="1"/>
        <v>0</v>
      </c>
      <c r="T10" s="52">
        <f>+E10+P10</f>
        <v>1</v>
      </c>
      <c r="U10" s="236">
        <f t="shared" ref="U10:U36" si="2">+R10+G10</f>
        <v>4000000</v>
      </c>
      <c r="V10" s="114">
        <f t="shared" si="0"/>
        <v>0</v>
      </c>
    </row>
    <row r="11" spans="1:22" ht="24" x14ac:dyDescent="0.3">
      <c r="A11" s="63" t="s">
        <v>18</v>
      </c>
      <c r="B11" s="57"/>
      <c r="C11" s="64">
        <v>1</v>
      </c>
      <c r="D11" s="57"/>
      <c r="E11" s="59">
        <v>1</v>
      </c>
      <c r="F11" s="49">
        <v>307000000</v>
      </c>
      <c r="G11" s="50">
        <f>F11</f>
        <v>307000000</v>
      </c>
      <c r="H11" s="40"/>
      <c r="I11" s="230"/>
      <c r="J11" s="41"/>
      <c r="K11" s="41"/>
      <c r="L11" s="42"/>
      <c r="M11" s="42"/>
      <c r="N11" s="42"/>
      <c r="O11" s="42"/>
      <c r="P11" s="41"/>
      <c r="Q11" s="17"/>
      <c r="R11" s="43">
        <v>0</v>
      </c>
      <c r="S11" s="44">
        <f t="shared" si="1"/>
        <v>0</v>
      </c>
      <c r="T11" s="52">
        <f>+E11+P11</f>
        <v>1</v>
      </c>
      <c r="U11" s="236">
        <f t="shared" si="2"/>
        <v>307000000</v>
      </c>
      <c r="V11" s="114">
        <f t="shared" si="0"/>
        <v>0</v>
      </c>
    </row>
    <row r="12" spans="1:22" ht="16.5" customHeight="1" x14ac:dyDescent="0.3">
      <c r="A12" s="62" t="s">
        <v>19</v>
      </c>
      <c r="B12" s="57"/>
      <c r="C12" s="64"/>
      <c r="D12" s="57"/>
      <c r="E12" s="59"/>
      <c r="F12" s="49">
        <v>267023620</v>
      </c>
      <c r="G12" s="50">
        <f>F12</f>
        <v>267023620</v>
      </c>
      <c r="H12" s="40"/>
      <c r="I12" s="230"/>
      <c r="J12" s="41"/>
      <c r="K12" s="41"/>
      <c r="L12" s="42"/>
      <c r="M12" s="42"/>
      <c r="N12" s="42"/>
      <c r="O12" s="42"/>
      <c r="P12" s="41"/>
      <c r="Q12" s="17"/>
      <c r="R12" s="43">
        <v>0</v>
      </c>
      <c r="S12" s="44">
        <f t="shared" si="1"/>
        <v>0</v>
      </c>
      <c r="T12" s="44">
        <f>+E12+P12</f>
        <v>0</v>
      </c>
      <c r="U12" s="228">
        <f t="shared" si="2"/>
        <v>267023620</v>
      </c>
      <c r="V12" s="114">
        <f t="shared" si="0"/>
        <v>0</v>
      </c>
    </row>
    <row r="13" spans="1:22" ht="24.75" customHeight="1" x14ac:dyDescent="0.3">
      <c r="A13" s="53" t="s">
        <v>155</v>
      </c>
      <c r="B13" s="57"/>
      <c r="C13" s="64"/>
      <c r="D13" s="57"/>
      <c r="E13" s="59"/>
      <c r="F13" s="54"/>
      <c r="G13" s="55">
        <f>SUM(G10:G12)</f>
        <v>578023620</v>
      </c>
      <c r="H13" s="40"/>
      <c r="I13" s="230"/>
      <c r="J13" s="41"/>
      <c r="K13" s="41"/>
      <c r="L13" s="42"/>
      <c r="M13" s="42"/>
      <c r="N13" s="42"/>
      <c r="O13" s="42"/>
      <c r="P13" s="41"/>
      <c r="Q13" s="17"/>
      <c r="R13" s="102">
        <f>SUM(R10:R12)</f>
        <v>0</v>
      </c>
      <c r="S13" s="44">
        <f t="shared" si="1"/>
        <v>0</v>
      </c>
      <c r="T13" s="44">
        <f>+E13+P13</f>
        <v>0</v>
      </c>
      <c r="U13" s="55">
        <f>SUM(U10:U12)</f>
        <v>578023620</v>
      </c>
      <c r="V13" s="114">
        <f t="shared" si="0"/>
        <v>0</v>
      </c>
    </row>
    <row r="14" spans="1:22" ht="20.25" customHeight="1" x14ac:dyDescent="0.3">
      <c r="A14" s="53" t="s">
        <v>324</v>
      </c>
      <c r="B14" s="57"/>
      <c r="C14" s="64">
        <v>1</v>
      </c>
      <c r="D14" s="57"/>
      <c r="E14" s="59">
        <v>1</v>
      </c>
      <c r="F14" s="54">
        <v>1221186529</v>
      </c>
      <c r="G14" s="55">
        <f>+F14</f>
        <v>1221186529</v>
      </c>
      <c r="H14" s="40"/>
      <c r="I14" s="230"/>
      <c r="J14" s="41"/>
      <c r="K14" s="41"/>
      <c r="L14" s="42"/>
      <c r="M14" s="42"/>
      <c r="N14" s="42"/>
      <c r="O14" s="42"/>
      <c r="P14" s="41"/>
      <c r="Q14" s="17"/>
      <c r="R14" s="43"/>
      <c r="S14" s="44"/>
      <c r="T14" s="44"/>
      <c r="U14" s="229">
        <f>+G14</f>
        <v>1221186529</v>
      </c>
      <c r="V14" s="114">
        <f t="shared" si="0"/>
        <v>0</v>
      </c>
    </row>
    <row r="15" spans="1:22" ht="24" customHeight="1" x14ac:dyDescent="0.3">
      <c r="A15" s="53" t="s">
        <v>20</v>
      </c>
      <c r="B15" s="57"/>
      <c r="C15" s="64">
        <v>1</v>
      </c>
      <c r="D15" s="57"/>
      <c r="E15" s="59">
        <v>1</v>
      </c>
      <c r="F15" s="54">
        <v>1259593537</v>
      </c>
      <c r="G15" s="55">
        <f>F15</f>
        <v>1259593537</v>
      </c>
      <c r="H15" s="40"/>
      <c r="I15" s="230"/>
      <c r="J15" s="41"/>
      <c r="K15" s="41"/>
      <c r="L15" s="42"/>
      <c r="M15" s="42"/>
      <c r="N15" s="42"/>
      <c r="O15" s="42"/>
      <c r="P15" s="41"/>
      <c r="Q15" s="17"/>
      <c r="R15" s="43">
        <v>0</v>
      </c>
      <c r="S15" s="44">
        <f t="shared" si="1"/>
        <v>0</v>
      </c>
      <c r="T15" s="52">
        <f t="shared" ref="T15:T36" si="3">+E15+P15</f>
        <v>1</v>
      </c>
      <c r="U15" s="229">
        <f t="shared" si="2"/>
        <v>1259593537</v>
      </c>
      <c r="V15" s="114">
        <f t="shared" si="0"/>
        <v>0</v>
      </c>
    </row>
    <row r="16" spans="1:22" ht="36" x14ac:dyDescent="0.3">
      <c r="A16" s="65" t="s">
        <v>183</v>
      </c>
      <c r="B16" s="57"/>
      <c r="C16" s="58"/>
      <c r="D16" s="57"/>
      <c r="E16" s="59"/>
      <c r="F16" s="54"/>
      <c r="G16" s="55"/>
      <c r="H16" s="40"/>
      <c r="I16" s="230">
        <v>1</v>
      </c>
      <c r="J16" s="41"/>
      <c r="K16" s="41"/>
      <c r="L16" s="42"/>
      <c r="M16" s="42"/>
      <c r="N16" s="42"/>
      <c r="O16" s="42"/>
      <c r="P16" s="41">
        <f>SUBTOTAL(9,I16:O16)</f>
        <v>1</v>
      </c>
      <c r="Q16" s="14">
        <f>88425760+92562459</f>
        <v>180988219</v>
      </c>
      <c r="R16" s="66">
        <f t="shared" ref="R16:R23" si="4">+Q16</f>
        <v>180988219</v>
      </c>
      <c r="S16" s="67">
        <v>0</v>
      </c>
      <c r="T16" s="52">
        <f t="shared" si="3"/>
        <v>1</v>
      </c>
      <c r="U16" s="236">
        <f t="shared" si="2"/>
        <v>180988219</v>
      </c>
      <c r="V16" s="114">
        <f t="shared" si="0"/>
        <v>0</v>
      </c>
    </row>
    <row r="17" spans="1:24" ht="48" customHeight="1" x14ac:dyDescent="0.3">
      <c r="A17" s="65" t="s">
        <v>184</v>
      </c>
      <c r="B17" s="57"/>
      <c r="C17" s="58"/>
      <c r="D17" s="57"/>
      <c r="E17" s="68"/>
      <c r="F17" s="54"/>
      <c r="G17" s="55"/>
      <c r="H17" s="40"/>
      <c r="I17" s="230">
        <v>1</v>
      </c>
      <c r="J17" s="41"/>
      <c r="K17" s="41"/>
      <c r="L17" s="42"/>
      <c r="M17" s="42"/>
      <c r="N17" s="42"/>
      <c r="O17" s="42"/>
      <c r="P17" s="41">
        <f t="shared" ref="P17:P36" si="5">SUBTOTAL(9,I17:O17)</f>
        <v>1</v>
      </c>
      <c r="Q17" s="14">
        <v>199959672</v>
      </c>
      <c r="R17" s="66">
        <f t="shared" si="4"/>
        <v>199959672</v>
      </c>
      <c r="S17" s="67">
        <v>0</v>
      </c>
      <c r="T17" s="52">
        <f t="shared" si="3"/>
        <v>1</v>
      </c>
      <c r="U17" s="236">
        <f t="shared" si="2"/>
        <v>199959672</v>
      </c>
      <c r="V17" s="114">
        <f t="shared" si="0"/>
        <v>0</v>
      </c>
    </row>
    <row r="18" spans="1:24" ht="24" x14ac:dyDescent="0.3">
      <c r="A18" s="65" t="s">
        <v>21</v>
      </c>
      <c r="B18" s="57"/>
      <c r="C18" s="58"/>
      <c r="D18" s="57"/>
      <c r="E18" s="68"/>
      <c r="F18" s="54"/>
      <c r="G18" s="55"/>
      <c r="H18" s="40"/>
      <c r="I18" s="230">
        <v>1</v>
      </c>
      <c r="J18" s="41"/>
      <c r="K18" s="41"/>
      <c r="L18" s="42"/>
      <c r="M18" s="42"/>
      <c r="N18" s="42"/>
      <c r="O18" s="42"/>
      <c r="P18" s="41">
        <f t="shared" si="5"/>
        <v>1</v>
      </c>
      <c r="Q18" s="14">
        <f>212000000+27402012</f>
        <v>239402012</v>
      </c>
      <c r="R18" s="66">
        <f t="shared" si="4"/>
        <v>239402012</v>
      </c>
      <c r="S18" s="67">
        <v>0</v>
      </c>
      <c r="T18" s="52">
        <f t="shared" si="3"/>
        <v>1</v>
      </c>
      <c r="U18" s="236">
        <f t="shared" si="2"/>
        <v>239402012</v>
      </c>
      <c r="V18" s="114">
        <f t="shared" si="0"/>
        <v>0</v>
      </c>
    </row>
    <row r="19" spans="1:24" ht="48" x14ac:dyDescent="0.3">
      <c r="A19" s="65" t="s">
        <v>185</v>
      </c>
      <c r="B19" s="57"/>
      <c r="C19" s="58"/>
      <c r="D19" s="57"/>
      <c r="E19" s="59"/>
      <c r="F19" s="54"/>
      <c r="G19" s="55"/>
      <c r="H19" s="40"/>
      <c r="I19" s="230">
        <v>1</v>
      </c>
      <c r="J19" s="41"/>
      <c r="K19" s="41"/>
      <c r="L19" s="42"/>
      <c r="M19" s="42"/>
      <c r="N19" s="42"/>
      <c r="O19" s="42"/>
      <c r="P19" s="41">
        <f t="shared" si="5"/>
        <v>1</v>
      </c>
      <c r="Q19" s="14">
        <v>183725687</v>
      </c>
      <c r="R19" s="66">
        <f t="shared" si="4"/>
        <v>183725687</v>
      </c>
      <c r="S19" s="67">
        <v>0</v>
      </c>
      <c r="T19" s="52">
        <f t="shared" si="3"/>
        <v>1</v>
      </c>
      <c r="U19" s="236">
        <f t="shared" si="2"/>
        <v>183725687</v>
      </c>
      <c r="V19" s="114">
        <f t="shared" si="0"/>
        <v>0</v>
      </c>
    </row>
    <row r="20" spans="1:24" ht="24" x14ac:dyDescent="0.3">
      <c r="A20" s="65" t="s">
        <v>455</v>
      </c>
      <c r="B20" s="57"/>
      <c r="C20" s="58"/>
      <c r="D20" s="57"/>
      <c r="E20" s="59"/>
      <c r="F20" s="54"/>
      <c r="G20" s="55"/>
      <c r="H20" s="40"/>
      <c r="I20" s="230">
        <v>1</v>
      </c>
      <c r="J20" s="41"/>
      <c r="K20" s="41"/>
      <c r="L20" s="42"/>
      <c r="M20" s="42"/>
      <c r="N20" s="42"/>
      <c r="O20" s="42"/>
      <c r="P20" s="41">
        <f t="shared" si="5"/>
        <v>1</v>
      </c>
      <c r="Q20" s="14">
        <v>50000000</v>
      </c>
      <c r="R20" s="66">
        <f>+Q20*P20</f>
        <v>50000000</v>
      </c>
      <c r="S20" s="67"/>
      <c r="T20" s="52">
        <f t="shared" si="3"/>
        <v>1</v>
      </c>
      <c r="U20" s="236">
        <f t="shared" si="2"/>
        <v>50000000</v>
      </c>
      <c r="V20" s="114">
        <f t="shared" si="0"/>
        <v>0</v>
      </c>
    </row>
    <row r="21" spans="1:24" ht="24" x14ac:dyDescent="0.3">
      <c r="A21" s="65" t="s">
        <v>456</v>
      </c>
      <c r="B21" s="57"/>
      <c r="C21" s="58"/>
      <c r="D21" s="57"/>
      <c r="E21" s="59"/>
      <c r="F21" s="54"/>
      <c r="G21" s="55"/>
      <c r="H21" s="40"/>
      <c r="I21" s="230">
        <v>1</v>
      </c>
      <c r="J21" s="41"/>
      <c r="K21" s="41"/>
      <c r="L21" s="42"/>
      <c r="M21" s="42"/>
      <c r="N21" s="42"/>
      <c r="O21" s="42"/>
      <c r="P21" s="41">
        <f t="shared" si="5"/>
        <v>1</v>
      </c>
      <c r="Q21" s="14">
        <v>22600268</v>
      </c>
      <c r="R21" s="66">
        <f>+Q21*P21</f>
        <v>22600268</v>
      </c>
      <c r="S21" s="67"/>
      <c r="T21" s="52">
        <f t="shared" si="3"/>
        <v>1</v>
      </c>
      <c r="U21" s="236">
        <f t="shared" si="2"/>
        <v>22600268</v>
      </c>
      <c r="V21" s="114">
        <f t="shared" si="0"/>
        <v>0</v>
      </c>
    </row>
    <row r="22" spans="1:24" ht="28.5" customHeight="1" x14ac:dyDescent="0.3">
      <c r="A22" s="69" t="s">
        <v>192</v>
      </c>
      <c r="B22" s="57"/>
      <c r="C22" s="58"/>
      <c r="D22" s="57"/>
      <c r="E22" s="59"/>
      <c r="F22" s="54"/>
      <c r="G22" s="55"/>
      <c r="H22" s="40"/>
      <c r="I22" s="230"/>
      <c r="J22" s="41">
        <v>1</v>
      </c>
      <c r="K22" s="41"/>
      <c r="L22" s="42"/>
      <c r="M22" s="42"/>
      <c r="N22" s="42"/>
      <c r="O22" s="42"/>
      <c r="P22" s="41">
        <f t="shared" si="5"/>
        <v>1</v>
      </c>
      <c r="Q22" s="17">
        <v>108000000</v>
      </c>
      <c r="R22" s="66">
        <f t="shared" si="4"/>
        <v>108000000</v>
      </c>
      <c r="S22" s="67"/>
      <c r="T22" s="52">
        <f t="shared" si="3"/>
        <v>1</v>
      </c>
      <c r="U22" s="236">
        <f t="shared" si="2"/>
        <v>108000000</v>
      </c>
      <c r="V22" s="114">
        <f t="shared" si="0"/>
        <v>0</v>
      </c>
    </row>
    <row r="23" spans="1:24" ht="36" customHeight="1" x14ac:dyDescent="0.3">
      <c r="A23" s="65" t="s">
        <v>193</v>
      </c>
      <c r="B23" s="57"/>
      <c r="C23" s="57"/>
      <c r="D23" s="57"/>
      <c r="E23" s="59"/>
      <c r="F23" s="54"/>
      <c r="G23" s="55">
        <f t="shared" ref="G23:G31" si="6">F23</f>
        <v>0</v>
      </c>
      <c r="H23" s="40"/>
      <c r="I23" s="230"/>
      <c r="J23" s="41"/>
      <c r="K23" s="41">
        <v>1</v>
      </c>
      <c r="L23" s="42"/>
      <c r="M23" s="42"/>
      <c r="N23" s="42"/>
      <c r="O23" s="42"/>
      <c r="P23" s="41">
        <f t="shared" si="5"/>
        <v>1</v>
      </c>
      <c r="Q23" s="18">
        <f>65971020+38001700</f>
        <v>103972720</v>
      </c>
      <c r="R23" s="66">
        <f t="shared" si="4"/>
        <v>103972720</v>
      </c>
      <c r="S23" s="67">
        <v>0</v>
      </c>
      <c r="T23" s="52">
        <f t="shared" si="3"/>
        <v>1</v>
      </c>
      <c r="U23" s="236">
        <f t="shared" si="2"/>
        <v>103972720</v>
      </c>
      <c r="V23" s="114">
        <f t="shared" si="0"/>
        <v>0</v>
      </c>
    </row>
    <row r="24" spans="1:24" ht="40.5" customHeight="1" x14ac:dyDescent="0.3">
      <c r="A24" s="65" t="s">
        <v>194</v>
      </c>
      <c r="B24" s="57"/>
      <c r="C24" s="57"/>
      <c r="D24" s="57"/>
      <c r="E24" s="59"/>
      <c r="F24" s="54"/>
      <c r="G24" s="55">
        <f t="shared" si="6"/>
        <v>0</v>
      </c>
      <c r="H24" s="40"/>
      <c r="I24" s="230"/>
      <c r="J24" s="41"/>
      <c r="K24" s="41">
        <v>1</v>
      </c>
      <c r="L24" s="42"/>
      <c r="M24" s="42"/>
      <c r="N24" s="42"/>
      <c r="O24" s="42"/>
      <c r="P24" s="41">
        <f t="shared" si="5"/>
        <v>1</v>
      </c>
      <c r="Q24" s="18">
        <v>3295492745</v>
      </c>
      <c r="R24" s="70">
        <f t="shared" ref="R24:R31" si="7">+Q24*P24</f>
        <v>3295492745</v>
      </c>
      <c r="S24" s="67">
        <v>0</v>
      </c>
      <c r="T24" s="52">
        <f t="shared" si="3"/>
        <v>1</v>
      </c>
      <c r="U24" s="236">
        <f t="shared" si="2"/>
        <v>3295492745</v>
      </c>
      <c r="V24" s="114">
        <f t="shared" si="0"/>
        <v>0</v>
      </c>
    </row>
    <row r="25" spans="1:24" ht="18.75" customHeight="1" x14ac:dyDescent="0.3">
      <c r="A25" s="65" t="s">
        <v>22</v>
      </c>
      <c r="B25" s="57"/>
      <c r="C25" s="57"/>
      <c r="D25" s="57"/>
      <c r="E25" s="59"/>
      <c r="F25" s="54"/>
      <c r="G25" s="55">
        <f t="shared" si="6"/>
        <v>0</v>
      </c>
      <c r="H25" s="71"/>
      <c r="I25" s="230"/>
      <c r="J25" s="41"/>
      <c r="K25" s="41">
        <v>1</v>
      </c>
      <c r="L25" s="42"/>
      <c r="M25" s="42"/>
      <c r="N25" s="42"/>
      <c r="O25" s="42"/>
      <c r="P25" s="41">
        <f t="shared" si="5"/>
        <v>1</v>
      </c>
      <c r="Q25" s="18">
        <v>163216290</v>
      </c>
      <c r="R25" s="70">
        <f t="shared" si="7"/>
        <v>163216290</v>
      </c>
      <c r="S25" s="67">
        <v>0</v>
      </c>
      <c r="T25" s="52">
        <f t="shared" si="3"/>
        <v>1</v>
      </c>
      <c r="U25" s="236">
        <f t="shared" si="2"/>
        <v>163216290</v>
      </c>
      <c r="V25" s="114">
        <f t="shared" si="0"/>
        <v>0</v>
      </c>
    </row>
    <row r="26" spans="1:24" ht="36" customHeight="1" x14ac:dyDescent="0.3">
      <c r="A26" s="65" t="s">
        <v>195</v>
      </c>
      <c r="B26" s="57"/>
      <c r="C26" s="57"/>
      <c r="D26" s="57"/>
      <c r="E26" s="59"/>
      <c r="F26" s="54"/>
      <c r="G26" s="55">
        <f t="shared" si="6"/>
        <v>0</v>
      </c>
      <c r="H26" s="40"/>
      <c r="I26" s="230"/>
      <c r="J26" s="41"/>
      <c r="K26" s="41">
        <v>1</v>
      </c>
      <c r="L26" s="42"/>
      <c r="M26" s="42"/>
      <c r="N26" s="42"/>
      <c r="O26" s="42"/>
      <c r="P26" s="41">
        <f t="shared" si="5"/>
        <v>1</v>
      </c>
      <c r="Q26" s="18">
        <v>138760833</v>
      </c>
      <c r="R26" s="70">
        <f t="shared" si="7"/>
        <v>138760833</v>
      </c>
      <c r="S26" s="67">
        <v>0</v>
      </c>
      <c r="T26" s="52">
        <f t="shared" si="3"/>
        <v>1</v>
      </c>
      <c r="U26" s="236">
        <f t="shared" si="2"/>
        <v>138760833</v>
      </c>
      <c r="V26" s="114">
        <f t="shared" si="0"/>
        <v>0</v>
      </c>
      <c r="X26" s="72"/>
    </row>
    <row r="27" spans="1:24" ht="24" customHeight="1" x14ac:dyDescent="0.3">
      <c r="A27" s="65" t="s">
        <v>196</v>
      </c>
      <c r="B27" s="57"/>
      <c r="C27" s="57"/>
      <c r="D27" s="57"/>
      <c r="E27" s="59"/>
      <c r="F27" s="54"/>
      <c r="G27" s="55">
        <f t="shared" si="6"/>
        <v>0</v>
      </c>
      <c r="H27" s="40"/>
      <c r="I27" s="230"/>
      <c r="J27" s="41"/>
      <c r="K27" s="41">
        <v>1</v>
      </c>
      <c r="L27" s="42"/>
      <c r="M27" s="42"/>
      <c r="N27" s="42"/>
      <c r="O27" s="42"/>
      <c r="P27" s="41">
        <f t="shared" si="5"/>
        <v>1</v>
      </c>
      <c r="Q27" s="18">
        <v>234691870</v>
      </c>
      <c r="R27" s="70">
        <f t="shared" si="7"/>
        <v>234691870</v>
      </c>
      <c r="S27" s="67">
        <v>0</v>
      </c>
      <c r="T27" s="52">
        <f t="shared" si="3"/>
        <v>1</v>
      </c>
      <c r="U27" s="236">
        <f t="shared" si="2"/>
        <v>234691870</v>
      </c>
      <c r="V27" s="114">
        <f t="shared" si="0"/>
        <v>0</v>
      </c>
    </row>
    <row r="28" spans="1:24" ht="36" customHeight="1" x14ac:dyDescent="0.3">
      <c r="A28" s="65" t="s">
        <v>197</v>
      </c>
      <c r="B28" s="57"/>
      <c r="C28" s="57"/>
      <c r="D28" s="57"/>
      <c r="E28" s="59"/>
      <c r="F28" s="54"/>
      <c r="G28" s="55">
        <f t="shared" si="6"/>
        <v>0</v>
      </c>
      <c r="H28" s="40"/>
      <c r="I28" s="230"/>
      <c r="J28" s="41"/>
      <c r="K28" s="41">
        <v>1</v>
      </c>
      <c r="L28" s="42"/>
      <c r="M28" s="42"/>
      <c r="N28" s="42"/>
      <c r="O28" s="42"/>
      <c r="P28" s="41">
        <f t="shared" si="5"/>
        <v>1</v>
      </c>
      <c r="Q28" s="18">
        <v>40256566</v>
      </c>
      <c r="R28" s="70">
        <f t="shared" si="7"/>
        <v>40256566</v>
      </c>
      <c r="S28" s="67">
        <v>0</v>
      </c>
      <c r="T28" s="52">
        <f t="shared" si="3"/>
        <v>1</v>
      </c>
      <c r="U28" s="236">
        <f t="shared" si="2"/>
        <v>40256566</v>
      </c>
      <c r="V28" s="114">
        <f t="shared" si="0"/>
        <v>0</v>
      </c>
    </row>
    <row r="29" spans="1:24" ht="48" customHeight="1" x14ac:dyDescent="0.3">
      <c r="A29" s="65" t="s">
        <v>198</v>
      </c>
      <c r="B29" s="57"/>
      <c r="C29" s="57"/>
      <c r="D29" s="57"/>
      <c r="E29" s="59"/>
      <c r="F29" s="54"/>
      <c r="G29" s="55">
        <f t="shared" si="6"/>
        <v>0</v>
      </c>
      <c r="H29" s="40"/>
      <c r="I29" s="230"/>
      <c r="J29" s="41"/>
      <c r="K29" s="41">
        <v>1</v>
      </c>
      <c r="L29" s="73"/>
      <c r="M29" s="42"/>
      <c r="N29" s="42"/>
      <c r="O29" s="42"/>
      <c r="P29" s="41">
        <f t="shared" si="5"/>
        <v>1</v>
      </c>
      <c r="Q29" s="18">
        <v>36050000</v>
      </c>
      <c r="R29" s="70">
        <f t="shared" si="7"/>
        <v>36050000</v>
      </c>
      <c r="S29" s="67">
        <v>0</v>
      </c>
      <c r="T29" s="52">
        <f t="shared" si="3"/>
        <v>1</v>
      </c>
      <c r="U29" s="236">
        <f t="shared" si="2"/>
        <v>36050000</v>
      </c>
      <c r="V29" s="114">
        <f t="shared" si="0"/>
        <v>0</v>
      </c>
    </row>
    <row r="30" spans="1:24" ht="48" x14ac:dyDescent="0.3">
      <c r="A30" s="65" t="s">
        <v>417</v>
      </c>
      <c r="B30" s="57"/>
      <c r="C30" s="57"/>
      <c r="D30" s="57"/>
      <c r="E30" s="59"/>
      <c r="F30" s="54"/>
      <c r="G30" s="55">
        <f t="shared" si="6"/>
        <v>0</v>
      </c>
      <c r="H30" s="40"/>
      <c r="I30" s="230"/>
      <c r="J30" s="41"/>
      <c r="K30" s="41">
        <v>1</v>
      </c>
      <c r="L30" s="42"/>
      <c r="M30" s="42"/>
      <c r="N30" s="42"/>
      <c r="O30" s="42"/>
      <c r="P30" s="41">
        <f t="shared" si="5"/>
        <v>1</v>
      </c>
      <c r="Q30" s="18">
        <v>28220842</v>
      </c>
      <c r="R30" s="70">
        <f t="shared" si="7"/>
        <v>28220842</v>
      </c>
      <c r="S30" s="67">
        <v>0</v>
      </c>
      <c r="T30" s="52">
        <f t="shared" si="3"/>
        <v>1</v>
      </c>
      <c r="U30" s="236">
        <f t="shared" si="2"/>
        <v>28220842</v>
      </c>
      <c r="V30" s="114">
        <f t="shared" si="0"/>
        <v>0</v>
      </c>
    </row>
    <row r="31" spans="1:24" ht="16.5" x14ac:dyDescent="0.3">
      <c r="A31" s="65" t="s">
        <v>23</v>
      </c>
      <c r="B31" s="57"/>
      <c r="C31" s="57"/>
      <c r="D31" s="57"/>
      <c r="E31" s="59"/>
      <c r="F31" s="54"/>
      <c r="G31" s="55">
        <f t="shared" si="6"/>
        <v>0</v>
      </c>
      <c r="H31" s="40"/>
      <c r="I31" s="230"/>
      <c r="J31" s="41"/>
      <c r="K31" s="41">
        <v>1</v>
      </c>
      <c r="L31" s="73"/>
      <c r="M31" s="42"/>
      <c r="N31" s="42"/>
      <c r="O31" s="42"/>
      <c r="P31" s="41">
        <f t="shared" si="5"/>
        <v>1</v>
      </c>
      <c r="Q31" s="18">
        <f>91748280-2212564-1446120</f>
        <v>88089596</v>
      </c>
      <c r="R31" s="70">
        <f t="shared" si="7"/>
        <v>88089596</v>
      </c>
      <c r="S31" s="67">
        <v>0</v>
      </c>
      <c r="T31" s="52">
        <f t="shared" si="3"/>
        <v>1</v>
      </c>
      <c r="U31" s="236">
        <f t="shared" si="2"/>
        <v>88089596</v>
      </c>
      <c r="V31" s="114">
        <f t="shared" si="0"/>
        <v>0</v>
      </c>
    </row>
    <row r="32" spans="1:24" ht="16.5" x14ac:dyDescent="0.3">
      <c r="A32" s="69" t="s">
        <v>187</v>
      </c>
      <c r="B32" s="57"/>
      <c r="C32" s="57"/>
      <c r="D32" s="57"/>
      <c r="E32" s="59"/>
      <c r="F32" s="54"/>
      <c r="G32" s="55"/>
      <c r="H32" s="40"/>
      <c r="I32" s="230"/>
      <c r="J32" s="41"/>
      <c r="K32" s="41"/>
      <c r="L32" s="73">
        <v>1</v>
      </c>
      <c r="M32" s="42"/>
      <c r="N32" s="42"/>
      <c r="O32" s="42"/>
      <c r="P32" s="41">
        <f t="shared" si="5"/>
        <v>1</v>
      </c>
      <c r="Q32" s="18">
        <f>30000000-9037343</f>
        <v>20962657</v>
      </c>
      <c r="R32" s="66">
        <f>+Q32</f>
        <v>20962657</v>
      </c>
      <c r="S32" s="67">
        <v>0</v>
      </c>
      <c r="T32" s="52">
        <f t="shared" si="3"/>
        <v>1</v>
      </c>
      <c r="U32" s="236">
        <f t="shared" si="2"/>
        <v>20962657</v>
      </c>
      <c r="V32" s="114">
        <f t="shared" si="0"/>
        <v>0</v>
      </c>
    </row>
    <row r="33" spans="1:22" ht="16.5" x14ac:dyDescent="0.3">
      <c r="A33" s="65" t="s">
        <v>199</v>
      </c>
      <c r="B33" s="57"/>
      <c r="C33" s="57"/>
      <c r="D33" s="57"/>
      <c r="E33" s="59"/>
      <c r="F33" s="54"/>
      <c r="G33" s="55">
        <f>F33</f>
        <v>0</v>
      </c>
      <c r="H33" s="40"/>
      <c r="I33" s="230"/>
      <c r="J33" s="41"/>
      <c r="K33" s="41"/>
      <c r="L33" s="42"/>
      <c r="M33" s="42">
        <v>1</v>
      </c>
      <c r="N33" s="42"/>
      <c r="O33" s="42"/>
      <c r="P33" s="41">
        <f t="shared" si="5"/>
        <v>1</v>
      </c>
      <c r="Q33" s="19">
        <f>58000000+50000000+5500000-12791166-10000000-775422-54724578</f>
        <v>35208834</v>
      </c>
      <c r="R33" s="66">
        <f>+Q33</f>
        <v>35208834</v>
      </c>
      <c r="S33" s="44">
        <v>0</v>
      </c>
      <c r="T33" s="52">
        <f t="shared" si="3"/>
        <v>1</v>
      </c>
      <c r="U33" s="236">
        <f t="shared" si="2"/>
        <v>35208834</v>
      </c>
      <c r="V33" s="114">
        <f t="shared" si="0"/>
        <v>0</v>
      </c>
    </row>
    <row r="34" spans="1:22" ht="24" x14ac:dyDescent="0.3">
      <c r="A34" s="65" t="s">
        <v>200</v>
      </c>
      <c r="B34" s="57"/>
      <c r="C34" s="57"/>
      <c r="D34" s="57"/>
      <c r="E34" s="59"/>
      <c r="F34" s="54"/>
      <c r="G34" s="55"/>
      <c r="H34" s="40"/>
      <c r="I34" s="230"/>
      <c r="J34" s="41"/>
      <c r="K34" s="41"/>
      <c r="L34" s="42"/>
      <c r="M34" s="42"/>
      <c r="N34" s="42">
        <v>1</v>
      </c>
      <c r="O34" s="42"/>
      <c r="P34" s="41">
        <f t="shared" si="5"/>
        <v>1</v>
      </c>
      <c r="Q34" s="19">
        <f>118350040+5616353</f>
        <v>123966393</v>
      </c>
      <c r="R34" s="66">
        <f>+Q34</f>
        <v>123966393</v>
      </c>
      <c r="S34" s="52">
        <v>0</v>
      </c>
      <c r="T34" s="52">
        <f t="shared" si="3"/>
        <v>1</v>
      </c>
      <c r="U34" s="236">
        <f t="shared" si="2"/>
        <v>123966393</v>
      </c>
      <c r="V34" s="114">
        <f t="shared" si="0"/>
        <v>0</v>
      </c>
    </row>
    <row r="35" spans="1:22" ht="24" x14ac:dyDescent="0.3">
      <c r="A35" s="69" t="s">
        <v>435</v>
      </c>
      <c r="B35" s="57"/>
      <c r="C35" s="57"/>
      <c r="D35" s="57"/>
      <c r="E35" s="59"/>
      <c r="F35" s="54"/>
      <c r="G35" s="55"/>
      <c r="H35" s="40"/>
      <c r="I35" s="230"/>
      <c r="J35" s="41"/>
      <c r="K35" s="41"/>
      <c r="L35" s="42"/>
      <c r="M35" s="42"/>
      <c r="N35" s="42"/>
      <c r="O35" s="42">
        <v>1</v>
      </c>
      <c r="P35" s="41">
        <f t="shared" si="5"/>
        <v>1</v>
      </c>
      <c r="Q35" s="17">
        <v>4312000</v>
      </c>
      <c r="R35" s="66">
        <f>+Q35</f>
        <v>4312000</v>
      </c>
      <c r="S35" s="52">
        <v>0</v>
      </c>
      <c r="T35" s="52">
        <f t="shared" si="3"/>
        <v>1</v>
      </c>
      <c r="U35" s="236">
        <f>+R35+G35</f>
        <v>4312000</v>
      </c>
      <c r="V35" s="114">
        <f t="shared" si="0"/>
        <v>0</v>
      </c>
    </row>
    <row r="36" spans="1:22" ht="16.5" x14ac:dyDescent="0.3">
      <c r="A36" s="69" t="s">
        <v>497</v>
      </c>
      <c r="B36" s="57"/>
      <c r="C36" s="57"/>
      <c r="D36" s="57"/>
      <c r="E36" s="59"/>
      <c r="F36" s="54"/>
      <c r="G36" s="55"/>
      <c r="H36" s="40"/>
      <c r="I36" s="230"/>
      <c r="J36" s="41"/>
      <c r="K36" s="41"/>
      <c r="L36" s="42"/>
      <c r="M36" s="42"/>
      <c r="N36" s="42"/>
      <c r="O36" s="42">
        <v>1</v>
      </c>
      <c r="P36" s="41">
        <f t="shared" si="5"/>
        <v>1</v>
      </c>
      <c r="Q36" s="17">
        <v>2150000</v>
      </c>
      <c r="R36" s="66">
        <f>+Q36</f>
        <v>2150000</v>
      </c>
      <c r="S36" s="52">
        <v>0</v>
      </c>
      <c r="T36" s="52">
        <f t="shared" si="3"/>
        <v>1</v>
      </c>
      <c r="U36" s="236">
        <f t="shared" si="2"/>
        <v>2150000</v>
      </c>
      <c r="V36" s="114">
        <f t="shared" si="0"/>
        <v>0</v>
      </c>
    </row>
    <row r="37" spans="1:22" ht="16.5" customHeight="1" x14ac:dyDescent="0.3">
      <c r="A37" s="53" t="s">
        <v>24</v>
      </c>
      <c r="B37" s="57"/>
      <c r="C37" s="57"/>
      <c r="D37" s="57"/>
      <c r="E37" s="59"/>
      <c r="F37" s="49"/>
      <c r="G37" s="74">
        <f>+G15+G14+G13+G8</f>
        <v>7215030631</v>
      </c>
      <c r="H37" s="40"/>
      <c r="I37" s="230"/>
      <c r="J37" s="41"/>
      <c r="K37" s="41"/>
      <c r="L37" s="42"/>
      <c r="M37" s="42"/>
      <c r="N37" s="42"/>
      <c r="O37" s="42"/>
      <c r="P37" s="41"/>
      <c r="Q37" s="17"/>
      <c r="R37" s="43">
        <f>SUM(R15:R36)</f>
        <v>5300027204</v>
      </c>
      <c r="S37" s="44"/>
      <c r="T37" s="44"/>
      <c r="U37" s="241">
        <f>SUM(U16:U36)+U15+U14+U13+U8</f>
        <v>12515057835</v>
      </c>
      <c r="V37" s="114">
        <f t="shared" si="0"/>
        <v>0</v>
      </c>
    </row>
    <row r="38" spans="1:22" ht="16.5" customHeight="1" x14ac:dyDescent="0.3">
      <c r="A38" s="53" t="s">
        <v>25</v>
      </c>
      <c r="B38" s="57"/>
      <c r="C38" s="57"/>
      <c r="D38" s="57"/>
      <c r="E38" s="59"/>
      <c r="F38" s="54"/>
      <c r="G38" s="55"/>
      <c r="H38" s="40"/>
      <c r="I38" s="230"/>
      <c r="J38" s="41"/>
      <c r="K38" s="41"/>
      <c r="L38" s="73"/>
      <c r="M38" s="42"/>
      <c r="N38" s="42"/>
      <c r="O38" s="42"/>
      <c r="P38" s="41"/>
      <c r="Q38" s="17"/>
      <c r="R38" s="43"/>
      <c r="S38" s="44"/>
      <c r="T38" s="44"/>
      <c r="U38" s="236"/>
      <c r="V38" s="114">
        <f t="shared" si="0"/>
        <v>0</v>
      </c>
    </row>
    <row r="39" spans="1:22" ht="16.5" customHeight="1" x14ac:dyDescent="0.3">
      <c r="A39" s="53" t="s">
        <v>26</v>
      </c>
      <c r="B39" s="57"/>
      <c r="C39" s="57"/>
      <c r="D39" s="57"/>
      <c r="E39" s="59"/>
      <c r="F39" s="54"/>
      <c r="G39" s="55"/>
      <c r="H39" s="40"/>
      <c r="I39" s="230"/>
      <c r="J39" s="41"/>
      <c r="K39" s="41"/>
      <c r="L39" s="42"/>
      <c r="M39" s="42"/>
      <c r="N39" s="42"/>
      <c r="O39" s="42"/>
      <c r="P39" s="41"/>
      <c r="Q39" s="17"/>
      <c r="R39" s="43"/>
      <c r="S39" s="44"/>
      <c r="T39" s="44"/>
      <c r="U39" s="236"/>
      <c r="V39" s="114">
        <f t="shared" si="0"/>
        <v>0</v>
      </c>
    </row>
    <row r="40" spans="1:22" ht="16.5" customHeight="1" x14ac:dyDescent="0.3">
      <c r="A40" s="56" t="s">
        <v>27</v>
      </c>
      <c r="B40" s="57"/>
      <c r="C40" s="64"/>
      <c r="D40" s="57"/>
      <c r="E40" s="59"/>
      <c r="F40" s="54"/>
      <c r="G40" s="55"/>
      <c r="H40" s="40"/>
      <c r="I40" s="230"/>
      <c r="J40" s="41"/>
      <c r="K40" s="41"/>
      <c r="L40" s="42"/>
      <c r="M40" s="42"/>
      <c r="N40" s="42"/>
      <c r="O40" s="42"/>
      <c r="P40" s="41"/>
      <c r="Q40" s="17"/>
      <c r="R40" s="43"/>
      <c r="S40" s="44"/>
      <c r="T40" s="44"/>
      <c r="U40" s="236"/>
      <c r="V40" s="114">
        <f t="shared" si="0"/>
        <v>0</v>
      </c>
    </row>
    <row r="41" spans="1:22" ht="16.5" customHeight="1" x14ac:dyDescent="0.3">
      <c r="A41" s="76" t="s">
        <v>28</v>
      </c>
      <c r="B41" s="57"/>
      <c r="C41" s="64">
        <v>1</v>
      </c>
      <c r="D41" s="57"/>
      <c r="E41" s="59">
        <v>1</v>
      </c>
      <c r="F41" s="49">
        <v>117468</v>
      </c>
      <c r="G41" s="50">
        <f>+F41*E41</f>
        <v>117468</v>
      </c>
      <c r="H41" s="40"/>
      <c r="I41" s="230"/>
      <c r="J41" s="41"/>
      <c r="K41" s="41"/>
      <c r="L41" s="42"/>
      <c r="M41" s="42"/>
      <c r="N41" s="42"/>
      <c r="O41" s="42"/>
      <c r="P41" s="41"/>
      <c r="Q41" s="17"/>
      <c r="R41" s="43"/>
      <c r="S41" s="44"/>
      <c r="T41" s="52">
        <f>+E41+P41</f>
        <v>1</v>
      </c>
      <c r="U41" s="236">
        <f>+T41*F41</f>
        <v>117468</v>
      </c>
      <c r="V41" s="114">
        <f t="shared" si="0"/>
        <v>0</v>
      </c>
    </row>
    <row r="42" spans="1:22" ht="16.5" customHeight="1" x14ac:dyDescent="0.3">
      <c r="A42" s="76" t="s">
        <v>29</v>
      </c>
      <c r="B42" s="57"/>
      <c r="C42" s="64">
        <v>1</v>
      </c>
      <c r="D42" s="57"/>
      <c r="E42" s="59">
        <v>1</v>
      </c>
      <c r="F42" s="49">
        <v>71623183</v>
      </c>
      <c r="G42" s="50">
        <f>+F42*E42</f>
        <v>71623183</v>
      </c>
      <c r="H42" s="40"/>
      <c r="I42" s="230"/>
      <c r="J42" s="41"/>
      <c r="K42" s="41"/>
      <c r="L42" s="42"/>
      <c r="M42" s="42"/>
      <c r="N42" s="42"/>
      <c r="O42" s="42"/>
      <c r="P42" s="41"/>
      <c r="Q42" s="17"/>
      <c r="R42" s="17"/>
      <c r="S42" s="77"/>
      <c r="T42" s="52">
        <f>+E42+P42</f>
        <v>1</v>
      </c>
      <c r="U42" s="236">
        <f>+T42*F42</f>
        <v>71623183</v>
      </c>
      <c r="V42" s="114">
        <f t="shared" si="0"/>
        <v>0</v>
      </c>
    </row>
    <row r="43" spans="1:22" ht="16.5" customHeight="1" x14ac:dyDescent="0.3">
      <c r="A43" s="76" t="s">
        <v>339</v>
      </c>
      <c r="B43" s="57"/>
      <c r="C43" s="64">
        <v>1</v>
      </c>
      <c r="D43" s="57"/>
      <c r="E43" s="59">
        <v>1</v>
      </c>
      <c r="F43" s="49">
        <v>8440026</v>
      </c>
      <c r="G43" s="50">
        <f>+F43*E43</f>
        <v>8440026</v>
      </c>
      <c r="H43" s="40"/>
      <c r="I43" s="230"/>
      <c r="J43" s="41"/>
      <c r="K43" s="41"/>
      <c r="L43" s="42"/>
      <c r="M43" s="42"/>
      <c r="N43" s="42"/>
      <c r="O43" s="42"/>
      <c r="P43" s="41"/>
      <c r="Q43" s="17"/>
      <c r="R43" s="17"/>
      <c r="S43" s="77"/>
      <c r="T43" s="52">
        <f>+E43+P43</f>
        <v>1</v>
      </c>
      <c r="U43" s="236">
        <f>+T43*F43</f>
        <v>8440026</v>
      </c>
      <c r="V43" s="114">
        <f t="shared" si="0"/>
        <v>0</v>
      </c>
    </row>
    <row r="44" spans="1:22" ht="16.5" customHeight="1" x14ac:dyDescent="0.3">
      <c r="A44" s="76" t="s">
        <v>30</v>
      </c>
      <c r="B44" s="57"/>
      <c r="C44" s="64">
        <v>1</v>
      </c>
      <c r="D44" s="57"/>
      <c r="E44" s="59">
        <v>1</v>
      </c>
      <c r="F44" s="49">
        <v>273689</v>
      </c>
      <c r="G44" s="50">
        <f>+F44*E44</f>
        <v>273689</v>
      </c>
      <c r="H44" s="40"/>
      <c r="I44" s="230"/>
      <c r="J44" s="41"/>
      <c r="K44" s="41"/>
      <c r="L44" s="78"/>
      <c r="M44" s="42"/>
      <c r="N44" s="42"/>
      <c r="O44" s="42"/>
      <c r="P44" s="41"/>
      <c r="Q44" s="17"/>
      <c r="R44" s="17"/>
      <c r="S44" s="77"/>
      <c r="T44" s="52">
        <f>+E44+P44</f>
        <v>1</v>
      </c>
      <c r="U44" s="236">
        <f>+T44*F44</f>
        <v>273689</v>
      </c>
      <c r="V44" s="114">
        <f t="shared" si="0"/>
        <v>0</v>
      </c>
    </row>
    <row r="45" spans="1:22" ht="16.5" customHeight="1" x14ac:dyDescent="0.3">
      <c r="A45" s="76" t="s">
        <v>494</v>
      </c>
      <c r="B45" s="57"/>
      <c r="C45" s="64"/>
      <c r="D45" s="57"/>
      <c r="E45" s="59">
        <v>1</v>
      </c>
      <c r="F45" s="49">
        <v>5131594</v>
      </c>
      <c r="G45" s="50">
        <f>+F45*E45</f>
        <v>5131594</v>
      </c>
      <c r="H45" s="40"/>
      <c r="I45" s="230"/>
      <c r="J45" s="41"/>
      <c r="K45" s="41"/>
      <c r="L45" s="78"/>
      <c r="M45" s="42"/>
      <c r="N45" s="42"/>
      <c r="O45" s="42"/>
      <c r="P45" s="41"/>
      <c r="Q45" s="17"/>
      <c r="R45" s="17"/>
      <c r="S45" s="77"/>
      <c r="T45" s="52">
        <f>+E45+P45</f>
        <v>1</v>
      </c>
      <c r="U45" s="236">
        <f>+T45*F45</f>
        <v>5131594</v>
      </c>
      <c r="V45" s="114">
        <f t="shared" si="0"/>
        <v>0</v>
      </c>
    </row>
    <row r="46" spans="1:22" ht="16.5" customHeight="1" x14ac:dyDescent="0.3">
      <c r="A46" s="53" t="s">
        <v>31</v>
      </c>
      <c r="B46" s="57"/>
      <c r="C46" s="57"/>
      <c r="D46" s="57"/>
      <c r="E46" s="59"/>
      <c r="F46" s="54"/>
      <c r="G46" s="55">
        <f>SUM(G41:G45)</f>
        <v>85585960</v>
      </c>
      <c r="H46" s="79"/>
      <c r="I46" s="230"/>
      <c r="J46" s="41"/>
      <c r="K46" s="41"/>
      <c r="L46" s="42"/>
      <c r="M46" s="42"/>
      <c r="N46" s="42"/>
      <c r="O46" s="42"/>
      <c r="P46" s="41"/>
      <c r="Q46" s="17"/>
      <c r="R46" s="102">
        <f>SUM(R41:R45)</f>
        <v>0</v>
      </c>
      <c r="S46" s="44"/>
      <c r="T46" s="44"/>
      <c r="U46" s="236">
        <f>+G46+R46</f>
        <v>85585960</v>
      </c>
      <c r="V46" s="114">
        <f t="shared" si="0"/>
        <v>0</v>
      </c>
    </row>
    <row r="47" spans="1:22" ht="16.5" customHeight="1" x14ac:dyDescent="0.3">
      <c r="A47" s="53" t="s">
        <v>32</v>
      </c>
      <c r="B47" s="57"/>
      <c r="C47" s="57"/>
      <c r="D47" s="57"/>
      <c r="E47" s="59"/>
      <c r="F47" s="54"/>
      <c r="G47" s="55"/>
      <c r="H47" s="40"/>
      <c r="I47" s="230"/>
      <c r="J47" s="41"/>
      <c r="K47" s="41"/>
      <c r="L47" s="42"/>
      <c r="M47" s="42"/>
      <c r="N47" s="42"/>
      <c r="O47" s="42"/>
      <c r="P47" s="41"/>
      <c r="Q47" s="17"/>
      <c r="R47" s="43"/>
      <c r="S47" s="44"/>
      <c r="T47" s="44"/>
      <c r="U47" s="236"/>
      <c r="V47" s="114">
        <f t="shared" si="0"/>
        <v>0</v>
      </c>
    </row>
    <row r="48" spans="1:22" ht="16.5" customHeight="1" x14ac:dyDescent="0.3">
      <c r="A48" s="53" t="s">
        <v>33</v>
      </c>
      <c r="B48" s="57"/>
      <c r="C48" s="57"/>
      <c r="D48" s="57"/>
      <c r="E48" s="59"/>
      <c r="F48" s="54"/>
      <c r="G48" s="55"/>
      <c r="H48" s="40"/>
      <c r="I48" s="230"/>
      <c r="J48" s="41"/>
      <c r="K48" s="41"/>
      <c r="L48" s="42"/>
      <c r="M48" s="42"/>
      <c r="N48" s="42"/>
      <c r="O48" s="42"/>
      <c r="P48" s="41"/>
      <c r="Q48" s="17"/>
      <c r="R48" s="43"/>
      <c r="S48" s="44"/>
      <c r="T48" s="44"/>
      <c r="U48" s="236"/>
      <c r="V48" s="114">
        <f t="shared" si="0"/>
        <v>0</v>
      </c>
    </row>
    <row r="49" spans="1:23" s="87" customFormat="1" ht="24" x14ac:dyDescent="0.3">
      <c r="A49" s="80" t="s">
        <v>454</v>
      </c>
      <c r="B49" s="81"/>
      <c r="C49" s="81"/>
      <c r="D49" s="58"/>
      <c r="E49" s="59"/>
      <c r="F49" s="82"/>
      <c r="G49" s="83"/>
      <c r="H49" s="84"/>
      <c r="I49" s="231">
        <v>1</v>
      </c>
      <c r="J49" s="81"/>
      <c r="K49" s="81"/>
      <c r="L49" s="81"/>
      <c r="M49" s="81"/>
      <c r="N49" s="81"/>
      <c r="O49" s="81"/>
      <c r="P49" s="41">
        <f t="shared" ref="P49:P54" si="8">SUBTOTAL(9,I49:O49)</f>
        <v>1</v>
      </c>
      <c r="Q49" s="20">
        <f>3370550+6741116</f>
        <v>10111666</v>
      </c>
      <c r="R49" s="20">
        <f t="shared" ref="R49:R54" si="9">+Q49*P49</f>
        <v>10111666</v>
      </c>
      <c r="S49" s="81">
        <v>0</v>
      </c>
      <c r="T49" s="52">
        <f t="shared" ref="T49:T54" si="10">+E49+P49</f>
        <v>1</v>
      </c>
      <c r="U49" s="236">
        <f>+R49+G49</f>
        <v>10111666</v>
      </c>
      <c r="V49" s="114">
        <f t="shared" si="0"/>
        <v>0</v>
      </c>
      <c r="W49" s="86"/>
    </row>
    <row r="50" spans="1:23" s="89" customFormat="1" ht="16.5" x14ac:dyDescent="0.3">
      <c r="A50" s="80" t="s">
        <v>248</v>
      </c>
      <c r="B50" s="81"/>
      <c r="C50" s="81"/>
      <c r="D50" s="64"/>
      <c r="E50" s="59"/>
      <c r="F50" s="82"/>
      <c r="G50" s="83"/>
      <c r="H50" s="84"/>
      <c r="I50" s="231"/>
      <c r="J50" s="81"/>
      <c r="K50" s="88">
        <v>1</v>
      </c>
      <c r="L50" s="88"/>
      <c r="M50" s="88"/>
      <c r="N50" s="88"/>
      <c r="O50" s="88"/>
      <c r="P50" s="41">
        <f t="shared" si="8"/>
        <v>1</v>
      </c>
      <c r="Q50" s="20">
        <f>258621*1.16</f>
        <v>300000.36</v>
      </c>
      <c r="R50" s="20">
        <f t="shared" si="9"/>
        <v>300000.36</v>
      </c>
      <c r="S50" s="81">
        <v>0</v>
      </c>
      <c r="T50" s="52">
        <f t="shared" si="10"/>
        <v>1</v>
      </c>
      <c r="U50" s="236">
        <f t="shared" ref="U50:U58" si="11">+R50+G50</f>
        <v>300000.36</v>
      </c>
      <c r="V50" s="114">
        <f t="shared" si="0"/>
        <v>0</v>
      </c>
      <c r="W50" s="86"/>
    </row>
    <row r="51" spans="1:23" s="89" customFormat="1" ht="16.5" x14ac:dyDescent="0.3">
      <c r="A51" s="90" t="s">
        <v>267</v>
      </c>
      <c r="B51" s="57"/>
      <c r="C51" s="58"/>
      <c r="D51" s="57"/>
      <c r="E51" s="59"/>
      <c r="F51" s="91"/>
      <c r="G51" s="55"/>
      <c r="H51" s="71"/>
      <c r="I51" s="233"/>
      <c r="J51" s="92"/>
      <c r="K51" s="88">
        <v>1</v>
      </c>
      <c r="L51" s="88"/>
      <c r="M51" s="88"/>
      <c r="N51" s="88"/>
      <c r="O51" s="88"/>
      <c r="P51" s="41">
        <f t="shared" si="8"/>
        <v>1</v>
      </c>
      <c r="Q51" s="94">
        <f>3577586.2*1.16</f>
        <v>4149999.9920000001</v>
      </c>
      <c r="R51" s="20">
        <f t="shared" si="9"/>
        <v>4149999.9920000001</v>
      </c>
      <c r="S51" s="93"/>
      <c r="T51" s="52">
        <f t="shared" si="10"/>
        <v>1</v>
      </c>
      <c r="U51" s="236">
        <f t="shared" si="11"/>
        <v>4149999.9920000001</v>
      </c>
      <c r="V51" s="114">
        <f t="shared" si="0"/>
        <v>0</v>
      </c>
      <c r="W51" s="86"/>
    </row>
    <row r="52" spans="1:23" s="89" customFormat="1" ht="16.5" x14ac:dyDescent="0.3">
      <c r="A52" s="80" t="s">
        <v>434</v>
      </c>
      <c r="B52" s="81"/>
      <c r="C52" s="81"/>
      <c r="D52" s="64"/>
      <c r="E52" s="59"/>
      <c r="F52" s="82"/>
      <c r="G52" s="83"/>
      <c r="H52" s="84"/>
      <c r="I52" s="231">
        <v>3</v>
      </c>
      <c r="J52" s="81"/>
      <c r="K52" s="88"/>
      <c r="L52" s="88"/>
      <c r="M52" s="88"/>
      <c r="N52" s="88"/>
      <c r="O52" s="88"/>
      <c r="P52" s="41">
        <f t="shared" si="8"/>
        <v>3</v>
      </c>
      <c r="Q52" s="20">
        <v>10237200</v>
      </c>
      <c r="R52" s="20">
        <f>+Q52*P52</f>
        <v>30711600</v>
      </c>
      <c r="S52" s="81"/>
      <c r="T52" s="52">
        <f t="shared" si="10"/>
        <v>3</v>
      </c>
      <c r="U52" s="236">
        <f t="shared" si="11"/>
        <v>30711600</v>
      </c>
      <c r="V52" s="114">
        <f t="shared" si="0"/>
        <v>0</v>
      </c>
      <c r="W52" s="86"/>
    </row>
    <row r="53" spans="1:23" s="89" customFormat="1" ht="16.5" x14ac:dyDescent="0.3">
      <c r="A53" s="95" t="s">
        <v>477</v>
      </c>
      <c r="B53" s="81"/>
      <c r="C53" s="81"/>
      <c r="D53" s="81"/>
      <c r="E53" s="59"/>
      <c r="F53" s="68"/>
      <c r="G53" s="83"/>
      <c r="H53" s="96"/>
      <c r="I53" s="231"/>
      <c r="J53" s="81"/>
      <c r="K53" s="88">
        <v>2</v>
      </c>
      <c r="L53" s="88"/>
      <c r="M53" s="88"/>
      <c r="N53" s="88"/>
      <c r="O53" s="88"/>
      <c r="P53" s="41">
        <f t="shared" si="8"/>
        <v>2</v>
      </c>
      <c r="Q53" s="20">
        <f>530000*1.16</f>
        <v>614800</v>
      </c>
      <c r="R53" s="20">
        <f>+Q53*P53</f>
        <v>1229600</v>
      </c>
      <c r="S53" s="81">
        <v>0</v>
      </c>
      <c r="T53" s="52">
        <f t="shared" si="10"/>
        <v>2</v>
      </c>
      <c r="U53" s="236">
        <f>+R53+G53</f>
        <v>1229600</v>
      </c>
      <c r="V53" s="114">
        <f t="shared" si="0"/>
        <v>0</v>
      </c>
      <c r="W53" s="86"/>
    </row>
    <row r="54" spans="1:23" s="89" customFormat="1" ht="15.75" customHeight="1" x14ac:dyDescent="0.3">
      <c r="A54" s="95" t="s">
        <v>476</v>
      </c>
      <c r="B54" s="81"/>
      <c r="C54" s="81"/>
      <c r="D54" s="81"/>
      <c r="E54" s="59"/>
      <c r="F54" s="97"/>
      <c r="G54" s="83"/>
      <c r="H54" s="96"/>
      <c r="I54" s="231"/>
      <c r="J54" s="81"/>
      <c r="K54" s="81">
        <v>6</v>
      </c>
      <c r="L54" s="81"/>
      <c r="M54" s="81"/>
      <c r="N54" s="81"/>
      <c r="O54" s="81"/>
      <c r="P54" s="41">
        <f t="shared" si="8"/>
        <v>6</v>
      </c>
      <c r="Q54" s="20">
        <v>47413.79</v>
      </c>
      <c r="R54" s="20">
        <f t="shared" si="9"/>
        <v>284482.74</v>
      </c>
      <c r="S54" s="81"/>
      <c r="T54" s="52">
        <f t="shared" si="10"/>
        <v>6</v>
      </c>
      <c r="U54" s="236">
        <f t="shared" si="11"/>
        <v>284482.74</v>
      </c>
      <c r="V54" s="114">
        <f t="shared" si="0"/>
        <v>0</v>
      </c>
      <c r="W54" s="86"/>
    </row>
    <row r="55" spans="1:23" s="89" customFormat="1" ht="16.5" x14ac:dyDescent="0.3">
      <c r="A55" s="244" t="s">
        <v>160</v>
      </c>
      <c r="B55" s="57"/>
      <c r="C55" s="81"/>
      <c r="D55" s="81"/>
      <c r="E55" s="59"/>
      <c r="F55" s="98"/>
      <c r="G55" s="99">
        <f>SUM(G49:G54)</f>
        <v>0</v>
      </c>
      <c r="H55" s="96"/>
      <c r="I55" s="231"/>
      <c r="J55" s="81"/>
      <c r="K55" s="81"/>
      <c r="L55" s="81"/>
      <c r="M55" s="81"/>
      <c r="N55" s="81"/>
      <c r="O55" s="81"/>
      <c r="P55" s="81"/>
      <c r="Q55" s="20"/>
      <c r="R55" s="100">
        <f>SUM(R49:R54)</f>
        <v>46787349.092</v>
      </c>
      <c r="S55" s="81"/>
      <c r="T55" s="85"/>
      <c r="U55" s="241">
        <f>SUM(U49:U54)</f>
        <v>46787349.092</v>
      </c>
      <c r="V55" s="114">
        <f t="shared" si="0"/>
        <v>0</v>
      </c>
      <c r="W55" s="86"/>
    </row>
    <row r="56" spans="1:23" s="89" customFormat="1" ht="19.5" customHeight="1" x14ac:dyDescent="0.3">
      <c r="A56" s="250" t="s">
        <v>328</v>
      </c>
      <c r="B56" s="81"/>
      <c r="C56" s="81"/>
      <c r="D56" s="81"/>
      <c r="E56" s="59"/>
      <c r="F56" s="97"/>
      <c r="G56" s="83"/>
      <c r="H56" s="96"/>
      <c r="I56" s="231"/>
      <c r="J56" s="81"/>
      <c r="K56" s="81"/>
      <c r="L56" s="81"/>
      <c r="M56" s="81"/>
      <c r="N56" s="81"/>
      <c r="O56" s="81"/>
      <c r="P56" s="81"/>
      <c r="Q56" s="20"/>
      <c r="R56" s="20"/>
      <c r="S56" s="81"/>
      <c r="T56" s="44">
        <f>+P56+E56</f>
        <v>0</v>
      </c>
      <c r="U56" s="236"/>
      <c r="V56" s="114">
        <f t="shared" si="0"/>
        <v>0</v>
      </c>
      <c r="W56" s="86"/>
    </row>
    <row r="57" spans="1:23" s="89" customFormat="1" ht="16.5" x14ac:dyDescent="0.3">
      <c r="A57" s="90" t="s">
        <v>329</v>
      </c>
      <c r="B57" s="57"/>
      <c r="C57" s="59">
        <v>1</v>
      </c>
      <c r="D57" s="101"/>
      <c r="E57" s="59">
        <v>1</v>
      </c>
      <c r="F57" s="68">
        <v>51051000</v>
      </c>
      <c r="G57" s="50">
        <f>F57</f>
        <v>51051000</v>
      </c>
      <c r="H57" s="71"/>
      <c r="I57" s="233"/>
      <c r="J57" s="92"/>
      <c r="K57" s="92"/>
      <c r="L57" s="88"/>
      <c r="M57" s="88"/>
      <c r="N57" s="88"/>
      <c r="O57" s="88"/>
      <c r="P57" s="92"/>
      <c r="Q57" s="94"/>
      <c r="R57" s="102"/>
      <c r="S57" s="103"/>
      <c r="T57" s="52">
        <f>+E57+P57</f>
        <v>1</v>
      </c>
      <c r="U57" s="236">
        <f t="shared" si="11"/>
        <v>51051000</v>
      </c>
      <c r="V57" s="114">
        <f t="shared" si="0"/>
        <v>0</v>
      </c>
      <c r="W57" s="86"/>
    </row>
    <row r="58" spans="1:23" s="89" customFormat="1" ht="16.5" x14ac:dyDescent="0.3">
      <c r="A58" s="90" t="s">
        <v>458</v>
      </c>
      <c r="B58" s="57"/>
      <c r="C58" s="58"/>
      <c r="D58" s="57"/>
      <c r="E58" s="59"/>
      <c r="F58" s="104"/>
      <c r="G58" s="50"/>
      <c r="H58" s="71"/>
      <c r="I58" s="233"/>
      <c r="J58" s="92"/>
      <c r="K58" s="92">
        <v>2</v>
      </c>
      <c r="L58" s="88"/>
      <c r="M58" s="88"/>
      <c r="N58" s="88"/>
      <c r="O58" s="88"/>
      <c r="P58" s="41">
        <f>SUBTOTAL(9,I58:O58)</f>
        <v>2</v>
      </c>
      <c r="Q58" s="94">
        <v>46980000</v>
      </c>
      <c r="R58" s="20">
        <f>+Q58*P58</f>
        <v>93960000</v>
      </c>
      <c r="S58" s="103">
        <v>0</v>
      </c>
      <c r="T58" s="52">
        <f>+E58+P58</f>
        <v>2</v>
      </c>
      <c r="U58" s="236">
        <f t="shared" si="11"/>
        <v>93960000</v>
      </c>
      <c r="V58" s="114">
        <f t="shared" si="0"/>
        <v>0</v>
      </c>
      <c r="W58" s="86"/>
    </row>
    <row r="59" spans="1:23" ht="16.5" customHeight="1" x14ac:dyDescent="0.3">
      <c r="A59" s="53" t="s">
        <v>160</v>
      </c>
      <c r="B59" s="57"/>
      <c r="C59" s="58"/>
      <c r="D59" s="57"/>
      <c r="E59" s="59"/>
      <c r="F59" s="105"/>
      <c r="G59" s="55">
        <f>SUM(G57:G58)</f>
        <v>51051000</v>
      </c>
      <c r="H59" s="40"/>
      <c r="I59" s="230"/>
      <c r="J59" s="41"/>
      <c r="K59" s="41"/>
      <c r="L59" s="42"/>
      <c r="M59" s="42"/>
      <c r="N59" s="42"/>
      <c r="O59" s="42"/>
      <c r="P59" s="41"/>
      <c r="Q59" s="17"/>
      <c r="R59" s="102">
        <f>SUM(R57:R58)</f>
        <v>93960000</v>
      </c>
      <c r="S59" s="44"/>
      <c r="T59" s="44"/>
      <c r="U59" s="55">
        <f>SUM(U57:U58)</f>
        <v>145011000</v>
      </c>
      <c r="V59" s="114">
        <f t="shared" si="0"/>
        <v>0</v>
      </c>
    </row>
    <row r="60" spans="1:23" ht="16.5" customHeight="1" x14ac:dyDescent="0.3">
      <c r="A60" s="53" t="s">
        <v>34</v>
      </c>
      <c r="B60" s="57"/>
      <c r="C60" s="58"/>
      <c r="D60" s="57"/>
      <c r="E60" s="59"/>
      <c r="F60" s="105"/>
      <c r="G60" s="55"/>
      <c r="H60" s="40"/>
      <c r="I60" s="230"/>
      <c r="J60" s="41"/>
      <c r="K60" s="41"/>
      <c r="L60" s="42"/>
      <c r="M60" s="42"/>
      <c r="N60" s="42"/>
      <c r="O60" s="42"/>
      <c r="P60" s="41"/>
      <c r="Q60" s="17"/>
      <c r="R60" s="43"/>
      <c r="S60" s="44"/>
      <c r="T60" s="44"/>
      <c r="U60" s="236"/>
      <c r="V60" s="114">
        <f t="shared" si="0"/>
        <v>0</v>
      </c>
    </row>
    <row r="61" spans="1:23" ht="16.5" customHeight="1" x14ac:dyDescent="0.3">
      <c r="A61" s="53" t="s">
        <v>35</v>
      </c>
      <c r="B61" s="57"/>
      <c r="C61" s="58"/>
      <c r="D61" s="57"/>
      <c r="E61" s="59"/>
      <c r="F61" s="105"/>
      <c r="G61" s="55"/>
      <c r="H61" s="40"/>
      <c r="I61" s="230"/>
      <c r="J61" s="41"/>
      <c r="K61" s="41"/>
      <c r="L61" s="42"/>
      <c r="M61" s="42"/>
      <c r="N61" s="42"/>
      <c r="O61" s="42"/>
      <c r="P61" s="41"/>
      <c r="Q61" s="17"/>
      <c r="R61" s="43"/>
      <c r="S61" s="44"/>
      <c r="T61" s="44"/>
      <c r="U61" s="236"/>
      <c r="V61" s="114">
        <f t="shared" si="0"/>
        <v>0</v>
      </c>
    </row>
    <row r="62" spans="1:23" ht="36" x14ac:dyDescent="0.3">
      <c r="A62" s="106" t="s">
        <v>342</v>
      </c>
      <c r="B62" s="107"/>
      <c r="C62" s="107"/>
      <c r="D62" s="107"/>
      <c r="E62" s="108"/>
      <c r="F62" s="109"/>
      <c r="G62" s="110"/>
      <c r="H62" s="111"/>
      <c r="I62" s="116"/>
      <c r="J62" s="107"/>
      <c r="K62" s="107"/>
      <c r="L62" s="107"/>
      <c r="M62" s="107"/>
      <c r="N62" s="107">
        <v>1</v>
      </c>
      <c r="O62" s="107"/>
      <c r="P62" s="41">
        <f t="shared" ref="P62:P82" si="12">SUBTOTAL(9,I62:O62)</f>
        <v>1</v>
      </c>
      <c r="Q62" s="70">
        <f>40000000-4494775+143775</f>
        <v>35649000</v>
      </c>
      <c r="R62" s="70">
        <f t="shared" ref="R62:R70" si="13">+Q62*P62</f>
        <v>35649000</v>
      </c>
      <c r="S62" s="107">
        <v>0</v>
      </c>
      <c r="T62" s="52">
        <f t="shared" ref="T62:T84" si="14">+E62+P62</f>
        <v>1</v>
      </c>
      <c r="U62" s="236">
        <f t="shared" ref="U62:U90" si="15">R62+G62</f>
        <v>35649000</v>
      </c>
      <c r="V62" s="114">
        <f t="shared" si="0"/>
        <v>0</v>
      </c>
    </row>
    <row r="63" spans="1:23" ht="13.5" customHeight="1" x14ac:dyDescent="0.3">
      <c r="A63" s="106" t="s">
        <v>343</v>
      </c>
      <c r="B63" s="107"/>
      <c r="C63" s="107"/>
      <c r="D63" s="107"/>
      <c r="E63" s="108"/>
      <c r="F63" s="109"/>
      <c r="G63" s="110"/>
      <c r="H63" s="111"/>
      <c r="I63" s="116"/>
      <c r="J63" s="107"/>
      <c r="K63" s="107">
        <v>3</v>
      </c>
      <c r="L63" s="107"/>
      <c r="M63" s="107"/>
      <c r="N63" s="107"/>
      <c r="O63" s="107"/>
      <c r="P63" s="41">
        <f t="shared" si="12"/>
        <v>3</v>
      </c>
      <c r="Q63" s="70">
        <v>666666.5</v>
      </c>
      <c r="R63" s="70">
        <f t="shared" si="13"/>
        <v>1999999.5</v>
      </c>
      <c r="S63" s="107"/>
      <c r="T63" s="52">
        <f t="shared" si="14"/>
        <v>3</v>
      </c>
      <c r="U63" s="236">
        <f t="shared" si="15"/>
        <v>1999999.5</v>
      </c>
      <c r="V63" s="114">
        <f t="shared" si="0"/>
        <v>0</v>
      </c>
    </row>
    <row r="64" spans="1:23" ht="16.5" x14ac:dyDescent="0.3">
      <c r="A64" s="106" t="s">
        <v>344</v>
      </c>
      <c r="B64" s="107"/>
      <c r="C64" s="107"/>
      <c r="D64" s="107"/>
      <c r="E64" s="108"/>
      <c r="F64" s="109"/>
      <c r="G64" s="110"/>
      <c r="H64" s="111"/>
      <c r="I64" s="116"/>
      <c r="J64" s="107"/>
      <c r="K64" s="107">
        <v>2</v>
      </c>
      <c r="L64" s="107"/>
      <c r="M64" s="107"/>
      <c r="N64" s="107"/>
      <c r="O64" s="107"/>
      <c r="P64" s="41">
        <f t="shared" si="12"/>
        <v>2</v>
      </c>
      <c r="Q64" s="70">
        <v>1000000</v>
      </c>
      <c r="R64" s="70">
        <f t="shared" si="13"/>
        <v>2000000</v>
      </c>
      <c r="S64" s="107"/>
      <c r="T64" s="52">
        <f t="shared" si="14"/>
        <v>2</v>
      </c>
      <c r="U64" s="236">
        <f t="shared" si="15"/>
        <v>2000000</v>
      </c>
      <c r="V64" s="114">
        <f t="shared" si="0"/>
        <v>0</v>
      </c>
    </row>
    <row r="65" spans="1:24" ht="16.5" x14ac:dyDescent="0.3">
      <c r="A65" s="106" t="s">
        <v>510</v>
      </c>
      <c r="B65" s="107"/>
      <c r="C65" s="107"/>
      <c r="D65" s="107"/>
      <c r="E65" s="108"/>
      <c r="F65" s="109"/>
      <c r="G65" s="110"/>
      <c r="H65" s="111"/>
      <c r="I65" s="116"/>
      <c r="J65" s="107"/>
      <c r="K65" s="107"/>
      <c r="L65" s="107"/>
      <c r="M65" s="107"/>
      <c r="N65" s="107">
        <v>20</v>
      </c>
      <c r="O65" s="107"/>
      <c r="P65" s="41">
        <f t="shared" si="12"/>
        <v>20</v>
      </c>
      <c r="Q65" s="70">
        <f>1000000-116250</f>
        <v>883750</v>
      </c>
      <c r="R65" s="70">
        <f t="shared" si="13"/>
        <v>17675000</v>
      </c>
      <c r="S65" s="107">
        <v>0</v>
      </c>
      <c r="T65" s="52">
        <f t="shared" si="14"/>
        <v>20</v>
      </c>
      <c r="U65" s="236">
        <f t="shared" si="15"/>
        <v>17675000</v>
      </c>
      <c r="V65" s="114">
        <f t="shared" si="0"/>
        <v>0</v>
      </c>
    </row>
    <row r="66" spans="1:24" ht="16.5" customHeight="1" x14ac:dyDescent="0.3">
      <c r="A66" s="106" t="s">
        <v>509</v>
      </c>
      <c r="B66" s="107"/>
      <c r="C66" s="107"/>
      <c r="D66" s="107"/>
      <c r="E66" s="108"/>
      <c r="F66" s="109"/>
      <c r="G66" s="110"/>
      <c r="H66" s="111"/>
      <c r="I66" s="116"/>
      <c r="J66" s="107"/>
      <c r="K66" s="107"/>
      <c r="L66" s="107"/>
      <c r="M66" s="107"/>
      <c r="N66" s="107">
        <v>50</v>
      </c>
      <c r="O66" s="107"/>
      <c r="P66" s="41">
        <f t="shared" si="12"/>
        <v>50</v>
      </c>
      <c r="Q66" s="70">
        <v>100000</v>
      </c>
      <c r="R66" s="70">
        <f t="shared" si="13"/>
        <v>5000000</v>
      </c>
      <c r="S66" s="107">
        <v>0</v>
      </c>
      <c r="T66" s="52">
        <f t="shared" si="14"/>
        <v>50</v>
      </c>
      <c r="U66" s="236">
        <f t="shared" si="15"/>
        <v>5000000</v>
      </c>
      <c r="V66" s="114">
        <f t="shared" si="0"/>
        <v>0</v>
      </c>
    </row>
    <row r="67" spans="1:24" ht="16.5" customHeight="1" x14ac:dyDescent="0.3">
      <c r="A67" s="106" t="s">
        <v>511</v>
      </c>
      <c r="B67" s="107"/>
      <c r="C67" s="107"/>
      <c r="D67" s="107"/>
      <c r="E67" s="108"/>
      <c r="F67" s="109"/>
      <c r="G67" s="110"/>
      <c r="H67" s="111"/>
      <c r="I67" s="116"/>
      <c r="J67" s="107"/>
      <c r="K67" s="107"/>
      <c r="L67" s="107"/>
      <c r="M67" s="107"/>
      <c r="N67" s="107">
        <v>1</v>
      </c>
      <c r="O67" s="107"/>
      <c r="P67" s="41">
        <f t="shared" si="12"/>
        <v>1</v>
      </c>
      <c r="Q67" s="70">
        <f>18000000+7200000</f>
        <v>25200000</v>
      </c>
      <c r="R67" s="70">
        <f t="shared" si="13"/>
        <v>25200000</v>
      </c>
      <c r="S67" s="107">
        <v>0</v>
      </c>
      <c r="T67" s="52">
        <f t="shared" si="14"/>
        <v>1</v>
      </c>
      <c r="U67" s="236">
        <f t="shared" si="15"/>
        <v>25200000</v>
      </c>
      <c r="V67" s="114">
        <f t="shared" si="0"/>
        <v>0</v>
      </c>
    </row>
    <row r="68" spans="1:24" ht="16.5" x14ac:dyDescent="0.3">
      <c r="A68" s="106" t="s">
        <v>512</v>
      </c>
      <c r="B68" s="107"/>
      <c r="C68" s="107"/>
      <c r="D68" s="107"/>
      <c r="E68" s="108"/>
      <c r="F68" s="109"/>
      <c r="G68" s="110"/>
      <c r="H68" s="111"/>
      <c r="I68" s="116"/>
      <c r="J68" s="107"/>
      <c r="K68" s="107"/>
      <c r="L68" s="107"/>
      <c r="M68" s="107"/>
      <c r="N68" s="107">
        <v>1</v>
      </c>
      <c r="O68" s="107"/>
      <c r="P68" s="41">
        <f t="shared" si="12"/>
        <v>1</v>
      </c>
      <c r="Q68" s="70">
        <f>10000000-1549000</f>
        <v>8451000</v>
      </c>
      <c r="R68" s="70">
        <f t="shared" si="13"/>
        <v>8451000</v>
      </c>
      <c r="S68" s="107">
        <v>0</v>
      </c>
      <c r="T68" s="52">
        <f t="shared" si="14"/>
        <v>1</v>
      </c>
      <c r="U68" s="236">
        <f t="shared" si="15"/>
        <v>8451000</v>
      </c>
      <c r="V68" s="114">
        <f t="shared" si="0"/>
        <v>0</v>
      </c>
    </row>
    <row r="69" spans="1:24" ht="16.5" x14ac:dyDescent="0.3">
      <c r="A69" s="62" t="s">
        <v>173</v>
      </c>
      <c r="B69" s="57"/>
      <c r="C69" s="57"/>
      <c r="D69" s="58"/>
      <c r="E69" s="59"/>
      <c r="F69" s="112"/>
      <c r="G69" s="110"/>
      <c r="H69" s="40"/>
      <c r="I69" s="230"/>
      <c r="J69" s="41"/>
      <c r="K69" s="41">
        <v>3</v>
      </c>
      <c r="L69" s="42"/>
      <c r="M69" s="42"/>
      <c r="N69" s="42"/>
      <c r="O69" s="42"/>
      <c r="P69" s="41">
        <f t="shared" si="12"/>
        <v>3</v>
      </c>
      <c r="Q69" s="17">
        <f>180948*1.16</f>
        <v>209899.68</v>
      </c>
      <c r="R69" s="70">
        <f t="shared" si="13"/>
        <v>629699.04</v>
      </c>
      <c r="S69" s="52">
        <v>0</v>
      </c>
      <c r="T69" s="52">
        <f t="shared" si="14"/>
        <v>3</v>
      </c>
      <c r="U69" s="236">
        <f t="shared" si="15"/>
        <v>629699.04</v>
      </c>
      <c r="V69" s="114">
        <f t="shared" si="0"/>
        <v>0</v>
      </c>
    </row>
    <row r="70" spans="1:24" ht="16.5" x14ac:dyDescent="0.3">
      <c r="A70" s="62" t="s">
        <v>174</v>
      </c>
      <c r="B70" s="57"/>
      <c r="C70" s="57"/>
      <c r="D70" s="58"/>
      <c r="E70" s="59"/>
      <c r="F70" s="112"/>
      <c r="G70" s="110"/>
      <c r="H70" s="40"/>
      <c r="I70" s="230"/>
      <c r="J70" s="41"/>
      <c r="K70" s="41">
        <v>30</v>
      </c>
      <c r="L70" s="42"/>
      <c r="M70" s="42"/>
      <c r="N70" s="42"/>
      <c r="O70" s="42"/>
      <c r="P70" s="41">
        <f t="shared" si="12"/>
        <v>30</v>
      </c>
      <c r="Q70" s="112">
        <f>2241379.31*1.16</f>
        <v>2599999.9995999997</v>
      </c>
      <c r="R70" s="70">
        <f t="shared" si="13"/>
        <v>77999999.987999991</v>
      </c>
      <c r="S70" s="52">
        <v>0</v>
      </c>
      <c r="T70" s="52">
        <f t="shared" si="14"/>
        <v>30</v>
      </c>
      <c r="U70" s="236">
        <f t="shared" si="15"/>
        <v>77999999.987999991</v>
      </c>
      <c r="V70" s="114">
        <f t="shared" si="0"/>
        <v>0</v>
      </c>
    </row>
    <row r="71" spans="1:24" ht="16.5" x14ac:dyDescent="0.3">
      <c r="A71" s="62" t="s">
        <v>468</v>
      </c>
      <c r="B71" s="57"/>
      <c r="C71" s="57"/>
      <c r="D71" s="58"/>
      <c r="E71" s="59"/>
      <c r="F71" s="112"/>
      <c r="G71" s="110"/>
      <c r="H71" s="40"/>
      <c r="I71" s="230"/>
      <c r="J71" s="41"/>
      <c r="K71" s="41">
        <v>6</v>
      </c>
      <c r="L71" s="42"/>
      <c r="M71" s="42"/>
      <c r="N71" s="42"/>
      <c r="O71" s="42"/>
      <c r="P71" s="41">
        <f t="shared" si="12"/>
        <v>6</v>
      </c>
      <c r="Q71" s="112">
        <f>2456896.55*1.16</f>
        <v>2849999.9979999997</v>
      </c>
      <c r="R71" s="70">
        <f>+Q71*P71</f>
        <v>17099999.987999998</v>
      </c>
      <c r="S71" s="52">
        <v>0</v>
      </c>
      <c r="T71" s="52">
        <f t="shared" si="14"/>
        <v>6</v>
      </c>
      <c r="U71" s="236">
        <f>R71+G71</f>
        <v>17099999.987999998</v>
      </c>
      <c r="V71" s="114">
        <f t="shared" si="0"/>
        <v>0</v>
      </c>
    </row>
    <row r="72" spans="1:24" ht="16.5" x14ac:dyDescent="0.3">
      <c r="A72" s="62" t="s">
        <v>288</v>
      </c>
      <c r="B72" s="57"/>
      <c r="C72" s="57"/>
      <c r="D72" s="58"/>
      <c r="E72" s="59"/>
      <c r="F72" s="112"/>
      <c r="G72" s="110"/>
      <c r="H72" s="40"/>
      <c r="I72" s="230"/>
      <c r="J72" s="41"/>
      <c r="K72" s="41"/>
      <c r="L72" s="42"/>
      <c r="M72" s="42"/>
      <c r="N72" s="42">
        <v>1</v>
      </c>
      <c r="O72" s="42"/>
      <c r="P72" s="41">
        <f t="shared" si="12"/>
        <v>1</v>
      </c>
      <c r="Q72" s="70">
        <f>3948276*1.16</f>
        <v>4580000.16</v>
      </c>
      <c r="R72" s="66">
        <f t="shared" ref="R72:R78" si="16">Q72*P72</f>
        <v>4580000.16</v>
      </c>
      <c r="S72" s="52">
        <v>0</v>
      </c>
      <c r="T72" s="52">
        <f t="shared" si="14"/>
        <v>1</v>
      </c>
      <c r="U72" s="236">
        <f t="shared" si="15"/>
        <v>4580000.16</v>
      </c>
      <c r="V72" s="114">
        <f t="shared" ref="V72:V134" si="17">+G72+R72-U72</f>
        <v>0</v>
      </c>
    </row>
    <row r="73" spans="1:24" ht="16.5" x14ac:dyDescent="0.3">
      <c r="A73" s="62" t="s">
        <v>464</v>
      </c>
      <c r="B73" s="57"/>
      <c r="C73" s="57"/>
      <c r="D73" s="58"/>
      <c r="E73" s="59"/>
      <c r="F73" s="112"/>
      <c r="G73" s="110"/>
      <c r="H73" s="40"/>
      <c r="I73" s="230"/>
      <c r="J73" s="41"/>
      <c r="K73" s="41">
        <v>1</v>
      </c>
      <c r="L73" s="42"/>
      <c r="M73" s="42"/>
      <c r="N73" s="42"/>
      <c r="O73" s="42"/>
      <c r="P73" s="41">
        <f t="shared" si="12"/>
        <v>1</v>
      </c>
      <c r="Q73" s="70">
        <v>9890160</v>
      </c>
      <c r="R73" s="66">
        <f t="shared" si="16"/>
        <v>9890160</v>
      </c>
      <c r="S73" s="52">
        <v>0</v>
      </c>
      <c r="T73" s="52">
        <f t="shared" si="14"/>
        <v>1</v>
      </c>
      <c r="U73" s="236">
        <f>R73+G73</f>
        <v>9890160</v>
      </c>
      <c r="V73" s="114">
        <f t="shared" si="17"/>
        <v>0</v>
      </c>
    </row>
    <row r="74" spans="1:24" ht="16.5" x14ac:dyDescent="0.3">
      <c r="A74" s="62" t="s">
        <v>465</v>
      </c>
      <c r="B74" s="57"/>
      <c r="C74" s="57"/>
      <c r="D74" s="58"/>
      <c r="E74" s="59"/>
      <c r="F74" s="112"/>
      <c r="G74" s="110"/>
      <c r="H74" s="40"/>
      <c r="I74" s="230"/>
      <c r="J74" s="41"/>
      <c r="K74" s="41">
        <v>1</v>
      </c>
      <c r="L74" s="42"/>
      <c r="M74" s="42"/>
      <c r="N74" s="42"/>
      <c r="O74" s="42"/>
      <c r="P74" s="41">
        <f t="shared" si="12"/>
        <v>1</v>
      </c>
      <c r="Q74" s="70">
        <v>6262144</v>
      </c>
      <c r="R74" s="66">
        <f t="shared" si="16"/>
        <v>6262144</v>
      </c>
      <c r="S74" s="52">
        <v>0</v>
      </c>
      <c r="T74" s="52">
        <f t="shared" si="14"/>
        <v>1</v>
      </c>
      <c r="U74" s="236">
        <f>R74+G74</f>
        <v>6262144</v>
      </c>
      <c r="V74" s="114">
        <f t="shared" si="17"/>
        <v>0</v>
      </c>
    </row>
    <row r="75" spans="1:24" ht="16.5" x14ac:dyDescent="0.3">
      <c r="A75" s="62" t="s">
        <v>466</v>
      </c>
      <c r="B75" s="57"/>
      <c r="C75" s="57"/>
      <c r="D75" s="58"/>
      <c r="E75" s="59"/>
      <c r="F75" s="112"/>
      <c r="G75" s="110"/>
      <c r="H75" s="40"/>
      <c r="I75" s="230"/>
      <c r="J75" s="41"/>
      <c r="K75" s="41">
        <v>1</v>
      </c>
      <c r="L75" s="42"/>
      <c r="M75" s="42"/>
      <c r="N75" s="42"/>
      <c r="O75" s="42"/>
      <c r="P75" s="41">
        <f t="shared" si="12"/>
        <v>1</v>
      </c>
      <c r="Q75" s="70">
        <v>1343048</v>
      </c>
      <c r="R75" s="66">
        <f t="shared" si="16"/>
        <v>1343048</v>
      </c>
      <c r="S75" s="52">
        <v>0</v>
      </c>
      <c r="T75" s="52">
        <f t="shared" si="14"/>
        <v>1</v>
      </c>
      <c r="U75" s="236">
        <f>R75+G75</f>
        <v>1343048</v>
      </c>
      <c r="V75" s="114">
        <f t="shared" si="17"/>
        <v>0</v>
      </c>
    </row>
    <row r="76" spans="1:24" ht="16.5" x14ac:dyDescent="0.3">
      <c r="A76" s="62" t="s">
        <v>508</v>
      </c>
      <c r="B76" s="57"/>
      <c r="C76" s="57"/>
      <c r="D76" s="58"/>
      <c r="E76" s="59"/>
      <c r="F76" s="112"/>
      <c r="G76" s="110"/>
      <c r="H76" s="40"/>
      <c r="I76" s="230"/>
      <c r="J76" s="41"/>
      <c r="K76" s="41">
        <v>1</v>
      </c>
      <c r="L76" s="42"/>
      <c r="M76" s="42"/>
      <c r="N76" s="42"/>
      <c r="O76" s="42"/>
      <c r="P76" s="41">
        <f t="shared" si="12"/>
        <v>1</v>
      </c>
      <c r="Q76" s="70">
        <v>61230540</v>
      </c>
      <c r="R76" s="66">
        <f t="shared" si="16"/>
        <v>61230540</v>
      </c>
      <c r="S76" s="52">
        <v>0</v>
      </c>
      <c r="T76" s="52">
        <f t="shared" si="14"/>
        <v>1</v>
      </c>
      <c r="U76" s="236">
        <f t="shared" si="15"/>
        <v>61230540</v>
      </c>
      <c r="V76" s="114">
        <f t="shared" si="17"/>
        <v>0</v>
      </c>
    </row>
    <row r="77" spans="1:24" ht="16.5" x14ac:dyDescent="0.3">
      <c r="A77" s="62" t="s">
        <v>507</v>
      </c>
      <c r="B77" s="57"/>
      <c r="C77" s="57"/>
      <c r="D77" s="58"/>
      <c r="E77" s="59"/>
      <c r="F77" s="112"/>
      <c r="G77" s="110"/>
      <c r="H77" s="40"/>
      <c r="I77" s="230"/>
      <c r="J77" s="41"/>
      <c r="K77" s="41">
        <v>1</v>
      </c>
      <c r="L77" s="42"/>
      <c r="M77" s="42"/>
      <c r="N77" s="42"/>
      <c r="O77" s="42"/>
      <c r="P77" s="41">
        <f t="shared" si="12"/>
        <v>1</v>
      </c>
      <c r="Q77" s="70">
        <v>18960200</v>
      </c>
      <c r="R77" s="66">
        <f t="shared" si="16"/>
        <v>18960200</v>
      </c>
      <c r="S77" s="52">
        <v>0</v>
      </c>
      <c r="T77" s="52">
        <f t="shared" si="14"/>
        <v>1</v>
      </c>
      <c r="U77" s="236">
        <f>R77+G77</f>
        <v>18960200</v>
      </c>
      <c r="V77" s="114">
        <f t="shared" si="17"/>
        <v>0</v>
      </c>
    </row>
    <row r="78" spans="1:24" ht="16.5" x14ac:dyDescent="0.3">
      <c r="A78" s="62" t="s">
        <v>475</v>
      </c>
      <c r="B78" s="57"/>
      <c r="C78" s="57"/>
      <c r="D78" s="58"/>
      <c r="E78" s="59"/>
      <c r="F78" s="112"/>
      <c r="G78" s="110"/>
      <c r="H78" s="40"/>
      <c r="I78" s="230"/>
      <c r="J78" s="41"/>
      <c r="K78" s="41"/>
      <c r="L78" s="42"/>
      <c r="M78" s="42"/>
      <c r="N78" s="42">
        <v>1</v>
      </c>
      <c r="O78" s="42"/>
      <c r="P78" s="41">
        <f t="shared" si="12"/>
        <v>1</v>
      </c>
      <c r="Q78" s="70">
        <v>101956000</v>
      </c>
      <c r="R78" s="66">
        <f t="shared" si="16"/>
        <v>101956000</v>
      </c>
      <c r="S78" s="52">
        <v>0</v>
      </c>
      <c r="T78" s="52">
        <f t="shared" si="14"/>
        <v>1</v>
      </c>
      <c r="U78" s="236">
        <f>R78+G78</f>
        <v>101956000</v>
      </c>
      <c r="V78" s="114">
        <f t="shared" si="17"/>
        <v>0</v>
      </c>
    </row>
    <row r="79" spans="1:24" ht="16.5" x14ac:dyDescent="0.3">
      <c r="A79" s="62" t="s">
        <v>286</v>
      </c>
      <c r="B79" s="57"/>
      <c r="C79" s="57"/>
      <c r="D79" s="58"/>
      <c r="E79" s="59"/>
      <c r="F79" s="112"/>
      <c r="G79" s="110"/>
      <c r="H79" s="40"/>
      <c r="I79" s="230"/>
      <c r="J79" s="41"/>
      <c r="K79" s="41"/>
      <c r="L79" s="42"/>
      <c r="M79" s="42"/>
      <c r="N79" s="42">
        <v>2</v>
      </c>
      <c r="O79" s="42"/>
      <c r="P79" s="41">
        <f t="shared" si="12"/>
        <v>2</v>
      </c>
      <c r="Q79" s="70">
        <f>2146120.5*1.16</f>
        <v>2489499.7799999998</v>
      </c>
      <c r="R79" s="70">
        <f>+Q79*P79</f>
        <v>4978999.5599999996</v>
      </c>
      <c r="S79" s="107">
        <v>0</v>
      </c>
      <c r="T79" s="52">
        <f t="shared" si="14"/>
        <v>2</v>
      </c>
      <c r="U79" s="236">
        <f t="shared" si="15"/>
        <v>4978999.5599999996</v>
      </c>
      <c r="V79" s="114">
        <f t="shared" si="17"/>
        <v>0</v>
      </c>
    </row>
    <row r="80" spans="1:24" ht="16.5" x14ac:dyDescent="0.3">
      <c r="A80" s="62" t="s">
        <v>287</v>
      </c>
      <c r="B80" s="57"/>
      <c r="C80" s="57"/>
      <c r="D80" s="58"/>
      <c r="E80" s="59"/>
      <c r="F80" s="112"/>
      <c r="G80" s="110"/>
      <c r="H80" s="40"/>
      <c r="I80" s="230"/>
      <c r="J80" s="41"/>
      <c r="K80" s="41"/>
      <c r="L80" s="42"/>
      <c r="M80" s="42"/>
      <c r="N80" s="42">
        <v>2</v>
      </c>
      <c r="O80" s="42"/>
      <c r="P80" s="41">
        <f t="shared" si="12"/>
        <v>2</v>
      </c>
      <c r="Q80" s="70">
        <f>323276*1.16</f>
        <v>375000.16</v>
      </c>
      <c r="R80" s="70">
        <f>+Q80*P80</f>
        <v>750000.32</v>
      </c>
      <c r="S80" s="107">
        <v>0</v>
      </c>
      <c r="T80" s="52">
        <f t="shared" si="14"/>
        <v>2</v>
      </c>
      <c r="U80" s="236">
        <f t="shared" si="15"/>
        <v>750000.32</v>
      </c>
      <c r="V80" s="114">
        <f t="shared" si="17"/>
        <v>0</v>
      </c>
      <c r="X80" s="75"/>
    </row>
    <row r="81" spans="1:24" ht="16.5" x14ac:dyDescent="0.3">
      <c r="A81" s="62" t="s">
        <v>467</v>
      </c>
      <c r="B81" s="57"/>
      <c r="C81" s="59"/>
      <c r="D81" s="58"/>
      <c r="E81" s="59"/>
      <c r="F81" s="70"/>
      <c r="G81" s="110"/>
      <c r="H81" s="40"/>
      <c r="I81" s="230"/>
      <c r="J81" s="41"/>
      <c r="K81" s="41">
        <v>2</v>
      </c>
      <c r="L81" s="42"/>
      <c r="M81" s="42"/>
      <c r="N81" s="42"/>
      <c r="O81" s="42"/>
      <c r="P81" s="41">
        <f t="shared" si="12"/>
        <v>2</v>
      </c>
      <c r="Q81" s="70">
        <v>371780</v>
      </c>
      <c r="R81" s="70">
        <f>+Q81*P81</f>
        <v>743560</v>
      </c>
      <c r="S81" s="107"/>
      <c r="T81" s="52">
        <f t="shared" si="14"/>
        <v>2</v>
      </c>
      <c r="U81" s="236">
        <f>R81+G81</f>
        <v>743560</v>
      </c>
      <c r="V81" s="114">
        <f t="shared" si="17"/>
        <v>0</v>
      </c>
      <c r="X81" s="75"/>
    </row>
    <row r="82" spans="1:24" ht="16.5" x14ac:dyDescent="0.3">
      <c r="A82" s="62" t="s">
        <v>432</v>
      </c>
      <c r="B82" s="57"/>
      <c r="C82" s="59"/>
      <c r="D82" s="58"/>
      <c r="E82" s="59"/>
      <c r="F82" s="70"/>
      <c r="G82" s="110"/>
      <c r="H82" s="40"/>
      <c r="I82" s="230"/>
      <c r="J82" s="41"/>
      <c r="K82" s="41">
        <v>3</v>
      </c>
      <c r="L82" s="42"/>
      <c r="M82" s="42"/>
      <c r="N82" s="42"/>
      <c r="O82" s="42"/>
      <c r="P82" s="41">
        <f t="shared" si="12"/>
        <v>3</v>
      </c>
      <c r="Q82" s="70">
        <f>2640690*1.16</f>
        <v>3063200.4</v>
      </c>
      <c r="R82" s="70">
        <f>+Q82*P82</f>
        <v>9189601.1999999993</v>
      </c>
      <c r="S82" s="107"/>
      <c r="T82" s="52">
        <f t="shared" si="14"/>
        <v>3</v>
      </c>
      <c r="U82" s="236">
        <f t="shared" si="15"/>
        <v>9189601.1999999993</v>
      </c>
      <c r="V82" s="114">
        <f t="shared" si="17"/>
        <v>0</v>
      </c>
      <c r="X82" s="75"/>
    </row>
    <row r="83" spans="1:24" ht="24" x14ac:dyDescent="0.3">
      <c r="A83" s="62" t="s">
        <v>480</v>
      </c>
      <c r="B83" s="57"/>
      <c r="C83" s="57"/>
      <c r="D83" s="58"/>
      <c r="E83" s="59">
        <v>10</v>
      </c>
      <c r="F83" s="70">
        <v>45240</v>
      </c>
      <c r="G83" s="110">
        <f>+F83*E83</f>
        <v>452400</v>
      </c>
      <c r="H83" s="40"/>
      <c r="I83" s="230"/>
      <c r="J83" s="41"/>
      <c r="K83" s="41"/>
      <c r="L83" s="42"/>
      <c r="M83" s="42"/>
      <c r="N83" s="42"/>
      <c r="O83" s="42"/>
      <c r="P83" s="113"/>
      <c r="Q83" s="70"/>
      <c r="R83" s="70"/>
      <c r="S83" s="107"/>
      <c r="T83" s="52">
        <f t="shared" si="14"/>
        <v>10</v>
      </c>
      <c r="U83" s="236">
        <f>+T83*F83</f>
        <v>452400</v>
      </c>
      <c r="V83" s="114">
        <f t="shared" si="17"/>
        <v>0</v>
      </c>
      <c r="X83" s="75"/>
    </row>
    <row r="84" spans="1:24" ht="16.5" customHeight="1" x14ac:dyDescent="0.3">
      <c r="A84" s="62" t="s">
        <v>418</v>
      </c>
      <c r="B84" s="57"/>
      <c r="C84" s="57"/>
      <c r="D84" s="58"/>
      <c r="E84" s="59"/>
      <c r="F84" s="112"/>
      <c r="G84" s="110"/>
      <c r="H84" s="40"/>
      <c r="I84" s="230"/>
      <c r="J84" s="41"/>
      <c r="K84" s="41">
        <v>1</v>
      </c>
      <c r="L84" s="42"/>
      <c r="M84" s="42"/>
      <c r="N84" s="42"/>
      <c r="O84" s="42"/>
      <c r="P84" s="41">
        <f>SUBTOTAL(9,I84:O84)</f>
        <v>1</v>
      </c>
      <c r="Q84" s="70">
        <f>305000000-307655+254517655+4500000</f>
        <v>563710000</v>
      </c>
      <c r="R84" s="70">
        <f>+Q84*P84</f>
        <v>563710000</v>
      </c>
      <c r="S84" s="107"/>
      <c r="T84" s="52">
        <f t="shared" si="14"/>
        <v>1</v>
      </c>
      <c r="U84" s="236">
        <f t="shared" si="15"/>
        <v>563710000</v>
      </c>
      <c r="V84" s="114">
        <f t="shared" si="17"/>
        <v>0</v>
      </c>
      <c r="X84" s="75"/>
    </row>
    <row r="85" spans="1:24" ht="16.5" customHeight="1" x14ac:dyDescent="0.3">
      <c r="A85" s="63" t="s">
        <v>330</v>
      </c>
      <c r="B85" s="57"/>
      <c r="C85" s="57"/>
      <c r="D85" s="58"/>
      <c r="E85" s="59"/>
      <c r="F85" s="112"/>
      <c r="G85" s="239">
        <f>SUM(G62:G84)</f>
        <v>452400</v>
      </c>
      <c r="H85" s="40"/>
      <c r="I85" s="230"/>
      <c r="J85" s="41"/>
      <c r="K85" s="41"/>
      <c r="L85" s="42"/>
      <c r="M85" s="42"/>
      <c r="N85" s="42"/>
      <c r="O85" s="42"/>
      <c r="P85" s="113"/>
      <c r="Q85" s="70"/>
      <c r="R85" s="253">
        <f>SUM(R62:R84)</f>
        <v>975298951.75600004</v>
      </c>
      <c r="S85" s="107"/>
      <c r="T85" s="44"/>
      <c r="U85" s="239">
        <f>SUM(U62:U84)</f>
        <v>975751351.75600004</v>
      </c>
      <c r="V85" s="114">
        <f t="shared" si="17"/>
        <v>0</v>
      </c>
    </row>
    <row r="86" spans="1:24" ht="16.5" customHeight="1" x14ac:dyDescent="0.3">
      <c r="A86" s="53" t="s">
        <v>36</v>
      </c>
      <c r="B86" s="107"/>
      <c r="C86" s="107"/>
      <c r="D86" s="107"/>
      <c r="E86" s="108"/>
      <c r="F86" s="107"/>
      <c r="G86" s="110"/>
      <c r="H86" s="111"/>
      <c r="I86" s="116"/>
      <c r="J86" s="107"/>
      <c r="K86" s="107"/>
      <c r="L86" s="107"/>
      <c r="M86" s="107"/>
      <c r="N86" s="107"/>
      <c r="O86" s="107"/>
      <c r="P86" s="107"/>
      <c r="Q86" s="70"/>
      <c r="R86" s="70"/>
      <c r="S86" s="107"/>
      <c r="T86" s="44"/>
      <c r="U86" s="236"/>
      <c r="V86" s="114">
        <f t="shared" si="17"/>
        <v>0</v>
      </c>
    </row>
    <row r="87" spans="1:24" ht="13.5" x14ac:dyDescent="0.25">
      <c r="A87" s="45" t="s">
        <v>478</v>
      </c>
      <c r="B87" s="107"/>
      <c r="C87" s="107"/>
      <c r="D87" s="107"/>
      <c r="E87" s="108"/>
      <c r="F87" s="112"/>
      <c r="G87" s="115"/>
      <c r="H87" s="243"/>
      <c r="I87" s="116"/>
      <c r="J87" s="107"/>
      <c r="K87" s="107">
        <v>5</v>
      </c>
      <c r="L87" s="107"/>
      <c r="M87" s="107"/>
      <c r="N87" s="107"/>
      <c r="O87" s="107"/>
      <c r="P87" s="41">
        <f>SUBTOTAL(9,I87:O87)</f>
        <v>5</v>
      </c>
      <c r="Q87" s="70">
        <v>515999</v>
      </c>
      <c r="R87" s="70">
        <f>+Q87*P87</f>
        <v>2579995</v>
      </c>
      <c r="S87" s="107"/>
      <c r="T87" s="52">
        <f>+E87+P87</f>
        <v>5</v>
      </c>
      <c r="U87" s="236">
        <f t="shared" si="15"/>
        <v>2579995</v>
      </c>
      <c r="V87" s="114">
        <f t="shared" si="17"/>
        <v>0</v>
      </c>
      <c r="W87" s="23"/>
    </row>
    <row r="88" spans="1:24" ht="13.5" x14ac:dyDescent="0.25">
      <c r="A88" s="45" t="s">
        <v>204</v>
      </c>
      <c r="B88" s="107"/>
      <c r="C88" s="107"/>
      <c r="D88" s="107"/>
      <c r="E88" s="108"/>
      <c r="F88" s="112"/>
      <c r="G88" s="115"/>
      <c r="H88" s="243"/>
      <c r="I88" s="116"/>
      <c r="J88" s="107"/>
      <c r="K88" s="107">
        <v>1</v>
      </c>
      <c r="L88" s="107"/>
      <c r="M88" s="107"/>
      <c r="N88" s="107"/>
      <c r="O88" s="107"/>
      <c r="P88" s="41">
        <f>SUBTOTAL(9,I88:O88)</f>
        <v>1</v>
      </c>
      <c r="Q88" s="70">
        <v>3575001</v>
      </c>
      <c r="R88" s="70">
        <f>+Q88*P88</f>
        <v>3575001</v>
      </c>
      <c r="S88" s="107"/>
      <c r="T88" s="52">
        <f>+E88+P88</f>
        <v>1</v>
      </c>
      <c r="U88" s="236">
        <f t="shared" si="15"/>
        <v>3575001</v>
      </c>
      <c r="V88" s="114">
        <f t="shared" si="17"/>
        <v>0</v>
      </c>
      <c r="W88" s="23"/>
    </row>
    <row r="89" spans="1:24" ht="16.5" x14ac:dyDescent="0.3">
      <c r="A89" s="45" t="s">
        <v>479</v>
      </c>
      <c r="B89" s="107"/>
      <c r="C89" s="107"/>
      <c r="D89" s="107"/>
      <c r="E89" s="108"/>
      <c r="F89" s="112"/>
      <c r="G89" s="110"/>
      <c r="H89" s="111"/>
      <c r="I89" s="116"/>
      <c r="J89" s="107"/>
      <c r="K89" s="107">
        <v>5</v>
      </c>
      <c r="L89" s="107"/>
      <c r="M89" s="107"/>
      <c r="N89" s="107"/>
      <c r="O89" s="107"/>
      <c r="P89" s="41">
        <f>SUBTOTAL(9,I89:O89)</f>
        <v>5</v>
      </c>
      <c r="Q89" s="70">
        <v>1125000</v>
      </c>
      <c r="R89" s="70">
        <f>+Q89*P89</f>
        <v>5625000</v>
      </c>
      <c r="S89" s="107">
        <v>0</v>
      </c>
      <c r="T89" s="52">
        <f>+E89+P89</f>
        <v>5</v>
      </c>
      <c r="U89" s="236">
        <f t="shared" si="15"/>
        <v>5625000</v>
      </c>
      <c r="V89" s="114">
        <f t="shared" si="17"/>
        <v>0</v>
      </c>
    </row>
    <row r="90" spans="1:24" ht="18.75" customHeight="1" x14ac:dyDescent="0.3">
      <c r="A90" s="45" t="s">
        <v>345</v>
      </c>
      <c r="B90" s="107"/>
      <c r="C90" s="107"/>
      <c r="D90" s="107"/>
      <c r="E90" s="108"/>
      <c r="F90" s="112"/>
      <c r="G90" s="110"/>
      <c r="H90" s="111"/>
      <c r="I90" s="116"/>
      <c r="J90" s="107"/>
      <c r="K90" s="107">
        <v>1</v>
      </c>
      <c r="L90" s="107"/>
      <c r="M90" s="107"/>
      <c r="N90" s="107"/>
      <c r="O90" s="107"/>
      <c r="P90" s="41">
        <f>SUBTOTAL(9,I90:O90)</f>
        <v>1</v>
      </c>
      <c r="Q90" s="70">
        <f>407696884+332920000</f>
        <v>740616884</v>
      </c>
      <c r="R90" s="70">
        <f>+Q90*P90</f>
        <v>740616884</v>
      </c>
      <c r="S90" s="107"/>
      <c r="T90" s="52">
        <f>+E90+P90</f>
        <v>1</v>
      </c>
      <c r="U90" s="236">
        <f t="shared" si="15"/>
        <v>740616884</v>
      </c>
      <c r="V90" s="114">
        <f t="shared" si="17"/>
        <v>0</v>
      </c>
      <c r="X90" s="114"/>
    </row>
    <row r="91" spans="1:24" ht="16.5" customHeight="1" x14ac:dyDescent="0.3">
      <c r="A91" s="53" t="s">
        <v>499</v>
      </c>
      <c r="B91" s="107"/>
      <c r="C91" s="107"/>
      <c r="D91" s="107"/>
      <c r="E91" s="108"/>
      <c r="F91" s="117"/>
      <c r="G91" s="118">
        <f>SUM(G87:G90)</f>
        <v>0</v>
      </c>
      <c r="H91" s="111"/>
      <c r="I91" s="116"/>
      <c r="J91" s="107"/>
      <c r="K91" s="107"/>
      <c r="L91" s="107"/>
      <c r="M91" s="107"/>
      <c r="N91" s="107"/>
      <c r="O91" s="107"/>
      <c r="P91" s="107"/>
      <c r="Q91" s="70"/>
      <c r="R91" s="254">
        <f>SUM(R87:R90)</f>
        <v>752396880</v>
      </c>
      <c r="S91" s="107"/>
      <c r="T91" s="107"/>
      <c r="U91" s="118">
        <f>SUM(U87:U90)</f>
        <v>752396880</v>
      </c>
      <c r="V91" s="114">
        <f t="shared" si="17"/>
        <v>0</v>
      </c>
    </row>
    <row r="92" spans="1:24" ht="16.5" customHeight="1" x14ac:dyDescent="0.3">
      <c r="A92" s="53" t="s">
        <v>37</v>
      </c>
      <c r="B92" s="107"/>
      <c r="C92" s="107"/>
      <c r="D92" s="107"/>
      <c r="E92" s="108"/>
      <c r="F92" s="109"/>
      <c r="G92" s="118"/>
      <c r="H92" s="111"/>
      <c r="I92" s="116"/>
      <c r="J92" s="107"/>
      <c r="K92" s="107"/>
      <c r="L92" s="107"/>
      <c r="M92" s="107"/>
      <c r="N92" s="107"/>
      <c r="O92" s="107"/>
      <c r="P92" s="107"/>
      <c r="Q92" s="70"/>
      <c r="R92" s="70"/>
      <c r="S92" s="107"/>
      <c r="T92" s="44"/>
      <c r="U92" s="118"/>
      <c r="V92" s="114">
        <f t="shared" si="17"/>
        <v>0</v>
      </c>
    </row>
    <row r="93" spans="1:24" ht="16.5" customHeight="1" x14ac:dyDescent="0.3">
      <c r="A93" s="53" t="s">
        <v>38</v>
      </c>
      <c r="B93" s="107"/>
      <c r="C93" s="107"/>
      <c r="D93" s="107"/>
      <c r="E93" s="108">
        <v>1</v>
      </c>
      <c r="F93" s="117">
        <v>6000000</v>
      </c>
      <c r="G93" s="118">
        <f>+F93*E93</f>
        <v>6000000</v>
      </c>
      <c r="H93" s="111"/>
      <c r="I93" s="116"/>
      <c r="J93" s="107"/>
      <c r="K93" s="107"/>
      <c r="L93" s="107"/>
      <c r="M93" s="107"/>
      <c r="N93" s="107"/>
      <c r="O93" s="107"/>
      <c r="P93" s="107"/>
      <c r="Q93" s="70"/>
      <c r="R93" s="254">
        <f>+Q93*P93</f>
        <v>0</v>
      </c>
      <c r="S93" s="107"/>
      <c r="T93" s="52">
        <f>+E93+P93</f>
        <v>1</v>
      </c>
      <c r="U93" s="240">
        <f>+T93*F93</f>
        <v>6000000</v>
      </c>
      <c r="V93" s="114">
        <f t="shared" si="17"/>
        <v>0</v>
      </c>
    </row>
    <row r="94" spans="1:24" ht="16.5" customHeight="1" x14ac:dyDescent="0.3">
      <c r="A94" s="119" t="s">
        <v>39</v>
      </c>
      <c r="B94" s="107"/>
      <c r="C94" s="107"/>
      <c r="D94" s="107"/>
      <c r="E94" s="108"/>
      <c r="F94" s="117"/>
      <c r="G94" s="118"/>
      <c r="H94" s="111"/>
      <c r="I94" s="116"/>
      <c r="J94" s="107"/>
      <c r="K94" s="107"/>
      <c r="L94" s="107"/>
      <c r="M94" s="107"/>
      <c r="N94" s="107"/>
      <c r="O94" s="107"/>
      <c r="P94" s="107"/>
      <c r="Q94" s="70"/>
      <c r="R94" s="70"/>
      <c r="S94" s="107"/>
      <c r="T94" s="44"/>
      <c r="U94" s="110"/>
      <c r="V94" s="114">
        <f t="shared" si="17"/>
        <v>0</v>
      </c>
    </row>
    <row r="95" spans="1:24" ht="16.5" customHeight="1" x14ac:dyDescent="0.3">
      <c r="A95" s="119" t="s">
        <v>40</v>
      </c>
      <c r="B95" s="107"/>
      <c r="C95" s="107"/>
      <c r="D95" s="107"/>
      <c r="E95" s="108"/>
      <c r="F95" s="109"/>
      <c r="G95" s="110"/>
      <c r="H95" s="111"/>
      <c r="I95" s="116"/>
      <c r="J95" s="107"/>
      <c r="K95" s="107"/>
      <c r="L95" s="107"/>
      <c r="M95" s="107"/>
      <c r="N95" s="107"/>
      <c r="O95" s="107"/>
      <c r="P95" s="107"/>
      <c r="Q95" s="70"/>
      <c r="R95" s="70"/>
      <c r="S95" s="107"/>
      <c r="T95" s="44"/>
      <c r="U95" s="237"/>
      <c r="V95" s="114">
        <f t="shared" si="17"/>
        <v>0</v>
      </c>
    </row>
    <row r="96" spans="1:24" ht="16.5" customHeight="1" x14ac:dyDescent="0.3">
      <c r="A96" s="106" t="s">
        <v>41</v>
      </c>
      <c r="B96" s="107"/>
      <c r="C96" s="107">
        <v>4</v>
      </c>
      <c r="D96" s="107"/>
      <c r="E96" s="108">
        <v>4</v>
      </c>
      <c r="F96" s="107">
        <v>75000</v>
      </c>
      <c r="G96" s="110">
        <f t="shared" ref="G96:G106" si="18">+E96*F96</f>
        <v>300000</v>
      </c>
      <c r="H96" s="111"/>
      <c r="I96" s="116"/>
      <c r="J96" s="107"/>
      <c r="K96" s="107"/>
      <c r="L96" s="107"/>
      <c r="M96" s="107"/>
      <c r="N96" s="107"/>
      <c r="O96" s="107"/>
      <c r="P96" s="107"/>
      <c r="Q96" s="70"/>
      <c r="R96" s="70"/>
      <c r="S96" s="107"/>
      <c r="T96" s="52">
        <f t="shared" ref="T96:T106" si="19">+E96+P96</f>
        <v>4</v>
      </c>
      <c r="U96" s="236">
        <f>+T96*F96</f>
        <v>300000</v>
      </c>
      <c r="V96" s="114">
        <f t="shared" si="17"/>
        <v>0</v>
      </c>
    </row>
    <row r="97" spans="1:22" ht="24" x14ac:dyDescent="0.3">
      <c r="A97" s="106" t="s">
        <v>438</v>
      </c>
      <c r="B97" s="107"/>
      <c r="C97" s="107">
        <v>19</v>
      </c>
      <c r="D97" s="107"/>
      <c r="E97" s="108">
        <v>19</v>
      </c>
      <c r="F97" s="107">
        <v>431579</v>
      </c>
      <c r="G97" s="110">
        <f t="shared" si="18"/>
        <v>8200001</v>
      </c>
      <c r="H97" s="111"/>
      <c r="I97" s="116"/>
      <c r="J97" s="107"/>
      <c r="K97" s="107"/>
      <c r="L97" s="107"/>
      <c r="M97" s="107"/>
      <c r="N97" s="107"/>
      <c r="O97" s="107"/>
      <c r="P97" s="107"/>
      <c r="Q97" s="70"/>
      <c r="R97" s="70"/>
      <c r="S97" s="107"/>
      <c r="T97" s="52">
        <f t="shared" si="19"/>
        <v>19</v>
      </c>
      <c r="U97" s="236">
        <f t="shared" ref="U97:U106" si="20">+T97*F97</f>
        <v>8200001</v>
      </c>
      <c r="V97" s="114">
        <f t="shared" si="17"/>
        <v>0</v>
      </c>
    </row>
    <row r="98" spans="1:22" ht="16.5" customHeight="1" x14ac:dyDescent="0.3">
      <c r="A98" s="106" t="s">
        <v>439</v>
      </c>
      <c r="B98" s="107"/>
      <c r="C98" s="107">
        <v>34</v>
      </c>
      <c r="D98" s="107"/>
      <c r="E98" s="108">
        <v>34</v>
      </c>
      <c r="F98" s="107">
        <v>299676</v>
      </c>
      <c r="G98" s="110">
        <f t="shared" si="18"/>
        <v>10188984</v>
      </c>
      <c r="H98" s="111"/>
      <c r="I98" s="116"/>
      <c r="J98" s="107"/>
      <c r="K98" s="107"/>
      <c r="L98" s="107"/>
      <c r="M98" s="107"/>
      <c r="N98" s="107"/>
      <c r="O98" s="107"/>
      <c r="P98" s="107"/>
      <c r="Q98" s="70"/>
      <c r="R98" s="70"/>
      <c r="S98" s="107"/>
      <c r="T98" s="52">
        <f t="shared" si="19"/>
        <v>34</v>
      </c>
      <c r="U98" s="236">
        <f t="shared" si="20"/>
        <v>10188984</v>
      </c>
      <c r="V98" s="114">
        <f t="shared" si="17"/>
        <v>0</v>
      </c>
    </row>
    <row r="99" spans="1:22" ht="16.5" customHeight="1" x14ac:dyDescent="0.3">
      <c r="A99" s="106" t="s">
        <v>42</v>
      </c>
      <c r="B99" s="107"/>
      <c r="C99" s="107">
        <v>19</v>
      </c>
      <c r="D99" s="107"/>
      <c r="E99" s="108">
        <v>19</v>
      </c>
      <c r="F99" s="107">
        <v>119843</v>
      </c>
      <c r="G99" s="110">
        <f t="shared" si="18"/>
        <v>2277017</v>
      </c>
      <c r="H99" s="111"/>
      <c r="I99" s="116"/>
      <c r="J99" s="107"/>
      <c r="K99" s="107"/>
      <c r="L99" s="107"/>
      <c r="M99" s="107"/>
      <c r="N99" s="107"/>
      <c r="O99" s="107"/>
      <c r="P99" s="107"/>
      <c r="Q99" s="70"/>
      <c r="R99" s="70"/>
      <c r="S99" s="107"/>
      <c r="T99" s="52">
        <f t="shared" si="19"/>
        <v>19</v>
      </c>
      <c r="U99" s="236">
        <f t="shared" si="20"/>
        <v>2277017</v>
      </c>
      <c r="V99" s="114">
        <f t="shared" si="17"/>
        <v>0</v>
      </c>
    </row>
    <row r="100" spans="1:22" ht="16.5" customHeight="1" x14ac:dyDescent="0.3">
      <c r="A100" s="106" t="s">
        <v>43</v>
      </c>
      <c r="B100" s="107"/>
      <c r="C100" s="107">
        <v>34</v>
      </c>
      <c r="D100" s="107"/>
      <c r="E100" s="108">
        <v>34</v>
      </c>
      <c r="F100" s="107">
        <v>112369</v>
      </c>
      <c r="G100" s="110">
        <f t="shared" si="18"/>
        <v>3820546</v>
      </c>
      <c r="H100" s="111"/>
      <c r="I100" s="116"/>
      <c r="J100" s="107"/>
      <c r="K100" s="107"/>
      <c r="L100" s="107"/>
      <c r="M100" s="107"/>
      <c r="N100" s="107"/>
      <c r="O100" s="107"/>
      <c r="P100" s="107"/>
      <c r="Q100" s="70"/>
      <c r="R100" s="70"/>
      <c r="S100" s="107"/>
      <c r="T100" s="52">
        <f t="shared" si="19"/>
        <v>34</v>
      </c>
      <c r="U100" s="236">
        <f t="shared" si="20"/>
        <v>3820546</v>
      </c>
      <c r="V100" s="114">
        <f t="shared" si="17"/>
        <v>0</v>
      </c>
    </row>
    <row r="101" spans="1:22" ht="16.5" customHeight="1" x14ac:dyDescent="0.3">
      <c r="A101" s="106" t="s">
        <v>44</v>
      </c>
      <c r="B101" s="107"/>
      <c r="C101" s="107">
        <v>6</v>
      </c>
      <c r="D101" s="107"/>
      <c r="E101" s="108">
        <v>6</v>
      </c>
      <c r="F101" s="107">
        <v>105849</v>
      </c>
      <c r="G101" s="110">
        <f t="shared" si="18"/>
        <v>635094</v>
      </c>
      <c r="H101" s="111"/>
      <c r="I101" s="116"/>
      <c r="J101" s="107"/>
      <c r="K101" s="107"/>
      <c r="L101" s="107"/>
      <c r="M101" s="107"/>
      <c r="N101" s="107"/>
      <c r="O101" s="107"/>
      <c r="P101" s="107"/>
      <c r="Q101" s="70"/>
      <c r="R101" s="70"/>
      <c r="S101" s="107"/>
      <c r="T101" s="52">
        <f t="shared" si="19"/>
        <v>6</v>
      </c>
      <c r="U101" s="236">
        <f t="shared" si="20"/>
        <v>635094</v>
      </c>
      <c r="V101" s="114">
        <f t="shared" si="17"/>
        <v>0</v>
      </c>
    </row>
    <row r="102" spans="1:22" ht="16.5" customHeight="1" x14ac:dyDescent="0.3">
      <c r="A102" s="106" t="s">
        <v>177</v>
      </c>
      <c r="B102" s="107"/>
      <c r="C102" s="107">
        <v>2</v>
      </c>
      <c r="D102" s="107"/>
      <c r="E102" s="108">
        <v>2</v>
      </c>
      <c r="F102" s="107">
        <v>80000</v>
      </c>
      <c r="G102" s="110">
        <f t="shared" si="18"/>
        <v>160000</v>
      </c>
      <c r="H102" s="111"/>
      <c r="I102" s="116"/>
      <c r="J102" s="107"/>
      <c r="K102" s="107"/>
      <c r="L102" s="107"/>
      <c r="M102" s="107"/>
      <c r="N102" s="107"/>
      <c r="O102" s="107"/>
      <c r="P102" s="107"/>
      <c r="Q102" s="70"/>
      <c r="R102" s="70"/>
      <c r="S102" s="107"/>
      <c r="T102" s="52">
        <f t="shared" si="19"/>
        <v>2</v>
      </c>
      <c r="U102" s="236">
        <f t="shared" si="20"/>
        <v>160000</v>
      </c>
      <c r="V102" s="114">
        <f t="shared" si="17"/>
        <v>0</v>
      </c>
    </row>
    <row r="103" spans="1:22" ht="16.5" customHeight="1" x14ac:dyDescent="0.3">
      <c r="A103" s="106" t="s">
        <v>178</v>
      </c>
      <c r="B103" s="107"/>
      <c r="C103" s="107">
        <v>2</v>
      </c>
      <c r="D103" s="107"/>
      <c r="E103" s="108">
        <v>2</v>
      </c>
      <c r="F103" s="107">
        <v>30000</v>
      </c>
      <c r="G103" s="110">
        <f t="shared" si="18"/>
        <v>60000</v>
      </c>
      <c r="H103" s="111"/>
      <c r="I103" s="116"/>
      <c r="J103" s="107"/>
      <c r="K103" s="107"/>
      <c r="L103" s="107"/>
      <c r="M103" s="107"/>
      <c r="N103" s="107"/>
      <c r="O103" s="107"/>
      <c r="P103" s="107"/>
      <c r="Q103" s="70"/>
      <c r="R103" s="70"/>
      <c r="S103" s="107"/>
      <c r="T103" s="52">
        <f t="shared" si="19"/>
        <v>2</v>
      </c>
      <c r="U103" s="236">
        <f t="shared" si="20"/>
        <v>60000</v>
      </c>
      <c r="V103" s="114">
        <f t="shared" si="17"/>
        <v>0</v>
      </c>
    </row>
    <row r="104" spans="1:22" ht="16.5" customHeight="1" x14ac:dyDescent="0.3">
      <c r="A104" s="106" t="s">
        <v>179</v>
      </c>
      <c r="B104" s="107"/>
      <c r="C104" s="107">
        <v>2</v>
      </c>
      <c r="D104" s="107"/>
      <c r="E104" s="108">
        <v>2</v>
      </c>
      <c r="F104" s="107">
        <v>280000</v>
      </c>
      <c r="G104" s="110">
        <f t="shared" si="18"/>
        <v>560000</v>
      </c>
      <c r="H104" s="111"/>
      <c r="I104" s="116"/>
      <c r="J104" s="107"/>
      <c r="K104" s="107"/>
      <c r="L104" s="107"/>
      <c r="M104" s="107"/>
      <c r="N104" s="107"/>
      <c r="O104" s="107"/>
      <c r="P104" s="107"/>
      <c r="Q104" s="70"/>
      <c r="R104" s="70"/>
      <c r="S104" s="107"/>
      <c r="T104" s="52">
        <f t="shared" si="19"/>
        <v>2</v>
      </c>
      <c r="U104" s="236">
        <f t="shared" si="20"/>
        <v>560000</v>
      </c>
      <c r="V104" s="114">
        <f t="shared" si="17"/>
        <v>0</v>
      </c>
    </row>
    <row r="105" spans="1:22" ht="16.5" customHeight="1" x14ac:dyDescent="0.3">
      <c r="A105" s="106" t="s">
        <v>180</v>
      </c>
      <c r="B105" s="107"/>
      <c r="C105" s="107">
        <v>1</v>
      </c>
      <c r="D105" s="107"/>
      <c r="E105" s="108">
        <v>1</v>
      </c>
      <c r="F105" s="107">
        <v>280000</v>
      </c>
      <c r="G105" s="110">
        <f t="shared" si="18"/>
        <v>280000</v>
      </c>
      <c r="H105" s="111"/>
      <c r="I105" s="116"/>
      <c r="J105" s="107"/>
      <c r="K105" s="107"/>
      <c r="L105" s="107"/>
      <c r="M105" s="107"/>
      <c r="N105" s="107"/>
      <c r="O105" s="107"/>
      <c r="P105" s="107"/>
      <c r="Q105" s="70"/>
      <c r="R105" s="70"/>
      <c r="S105" s="107"/>
      <c r="T105" s="52">
        <f t="shared" si="19"/>
        <v>1</v>
      </c>
      <c r="U105" s="236">
        <f t="shared" si="20"/>
        <v>280000</v>
      </c>
      <c r="V105" s="114">
        <f t="shared" si="17"/>
        <v>0</v>
      </c>
    </row>
    <row r="106" spans="1:22" ht="16.5" customHeight="1" x14ac:dyDescent="0.3">
      <c r="A106" s="106" t="s">
        <v>365</v>
      </c>
      <c r="B106" s="107"/>
      <c r="C106" s="107">
        <v>1</v>
      </c>
      <c r="D106" s="107"/>
      <c r="E106" s="108">
        <v>1</v>
      </c>
      <c r="F106" s="107">
        <f>2174800</f>
        <v>2174800</v>
      </c>
      <c r="G106" s="110">
        <f t="shared" si="18"/>
        <v>2174800</v>
      </c>
      <c r="H106" s="111"/>
      <c r="I106" s="116"/>
      <c r="J106" s="107"/>
      <c r="K106" s="107"/>
      <c r="L106" s="107"/>
      <c r="M106" s="107"/>
      <c r="N106" s="107"/>
      <c r="O106" s="107"/>
      <c r="P106" s="107"/>
      <c r="Q106" s="70"/>
      <c r="R106" s="70"/>
      <c r="S106" s="107"/>
      <c r="T106" s="52">
        <f t="shared" si="19"/>
        <v>1</v>
      </c>
      <c r="U106" s="236">
        <f t="shared" si="20"/>
        <v>2174800</v>
      </c>
      <c r="V106" s="114">
        <f t="shared" si="17"/>
        <v>0</v>
      </c>
    </row>
    <row r="107" spans="1:22" ht="16.5" customHeight="1" x14ac:dyDescent="0.3">
      <c r="A107" s="53" t="s">
        <v>45</v>
      </c>
      <c r="B107" s="107"/>
      <c r="C107" s="107"/>
      <c r="D107" s="107"/>
      <c r="E107" s="108"/>
      <c r="F107" s="107"/>
      <c r="G107" s="99">
        <f>SUM(G96:G106)</f>
        <v>28656442</v>
      </c>
      <c r="H107" s="111"/>
      <c r="I107" s="116"/>
      <c r="J107" s="107"/>
      <c r="K107" s="107"/>
      <c r="L107" s="107"/>
      <c r="M107" s="107"/>
      <c r="N107" s="107"/>
      <c r="O107" s="107"/>
      <c r="P107" s="107"/>
      <c r="Q107" s="70"/>
      <c r="R107" s="100">
        <f>SUM(R96:R106)</f>
        <v>0</v>
      </c>
      <c r="S107" s="107"/>
      <c r="T107" s="44"/>
      <c r="U107" s="241">
        <f>SUM(U96:U106)</f>
        <v>28656442</v>
      </c>
      <c r="V107" s="114">
        <f t="shared" si="17"/>
        <v>0</v>
      </c>
    </row>
    <row r="108" spans="1:22" ht="16.5" customHeight="1" x14ac:dyDescent="0.3">
      <c r="A108" s="53" t="s">
        <v>46</v>
      </c>
      <c r="B108" s="107"/>
      <c r="C108" s="107"/>
      <c r="D108" s="107"/>
      <c r="E108" s="108"/>
      <c r="F108" s="107"/>
      <c r="G108" s="110"/>
      <c r="H108" s="111"/>
      <c r="I108" s="116"/>
      <c r="J108" s="107"/>
      <c r="K108" s="107"/>
      <c r="L108" s="107"/>
      <c r="M108" s="107"/>
      <c r="N108" s="107"/>
      <c r="O108" s="107"/>
      <c r="P108" s="107"/>
      <c r="Q108" s="70"/>
      <c r="R108" s="70"/>
      <c r="S108" s="107"/>
      <c r="T108" s="44"/>
      <c r="U108" s="236"/>
      <c r="V108" s="114">
        <f t="shared" si="17"/>
        <v>0</v>
      </c>
    </row>
    <row r="109" spans="1:22" ht="18.75" customHeight="1" x14ac:dyDescent="0.3">
      <c r="A109" s="45" t="s">
        <v>47</v>
      </c>
      <c r="B109" s="107"/>
      <c r="C109" s="107"/>
      <c r="D109" s="107">
        <v>406</v>
      </c>
      <c r="E109" s="108"/>
      <c r="F109" s="109"/>
      <c r="G109" s="110"/>
      <c r="H109" s="111"/>
      <c r="I109" s="116">
        <f>20+8-8</f>
        <v>20</v>
      </c>
      <c r="J109" s="107"/>
      <c r="K109" s="107">
        <f>130+447</f>
        <v>577</v>
      </c>
      <c r="L109" s="107"/>
      <c r="M109" s="107"/>
      <c r="N109" s="107"/>
      <c r="O109" s="107"/>
      <c r="P109" s="41">
        <f t="shared" ref="P109:P121" si="21">SUBTOTAL(9,I109:O109)</f>
        <v>597</v>
      </c>
      <c r="Q109" s="109">
        <f>26569*1.16</f>
        <v>30820.039999999997</v>
      </c>
      <c r="R109" s="70">
        <f>+Q109*P109</f>
        <v>18399563.879999999</v>
      </c>
      <c r="S109" s="107">
        <v>406</v>
      </c>
      <c r="T109" s="52">
        <f t="shared" ref="T109:T132" si="22">+E109+P109</f>
        <v>597</v>
      </c>
      <c r="U109" s="236">
        <f t="shared" ref="U109:U131" si="23">+G109+R109</f>
        <v>18399563.879999999</v>
      </c>
      <c r="V109" s="114">
        <f t="shared" si="17"/>
        <v>0</v>
      </c>
    </row>
    <row r="110" spans="1:22" ht="24" customHeight="1" x14ac:dyDescent="0.3">
      <c r="A110" s="45" t="s">
        <v>249</v>
      </c>
      <c r="B110" s="107"/>
      <c r="C110" s="107"/>
      <c r="D110" s="107">
        <v>11</v>
      </c>
      <c r="E110" s="108">
        <v>5</v>
      </c>
      <c r="F110" s="109">
        <f>34483*1.16</f>
        <v>40000.28</v>
      </c>
      <c r="G110" s="110">
        <f>+F110*E110</f>
        <v>200001.4</v>
      </c>
      <c r="H110" s="120"/>
      <c r="I110" s="116"/>
      <c r="J110" s="107"/>
      <c r="K110" s="107">
        <v>19</v>
      </c>
      <c r="L110" s="107"/>
      <c r="M110" s="107"/>
      <c r="N110" s="107"/>
      <c r="O110" s="107"/>
      <c r="P110" s="41">
        <f t="shared" si="21"/>
        <v>19</v>
      </c>
      <c r="Q110" s="109">
        <f>34483*1.16</f>
        <v>40000.28</v>
      </c>
      <c r="R110" s="70">
        <f>+Q110*P110</f>
        <v>760005.32</v>
      </c>
      <c r="S110" s="107">
        <v>0</v>
      </c>
      <c r="T110" s="52">
        <f t="shared" si="22"/>
        <v>24</v>
      </c>
      <c r="U110" s="236">
        <f t="shared" si="23"/>
        <v>960006.72</v>
      </c>
      <c r="V110" s="114">
        <f t="shared" si="17"/>
        <v>0</v>
      </c>
    </row>
    <row r="111" spans="1:22" ht="18.75" customHeight="1" x14ac:dyDescent="0.3">
      <c r="A111" s="45" t="s">
        <v>171</v>
      </c>
      <c r="B111" s="107"/>
      <c r="C111" s="107"/>
      <c r="D111" s="107">
        <v>523</v>
      </c>
      <c r="E111" s="108"/>
      <c r="F111" s="109"/>
      <c r="G111" s="110"/>
      <c r="H111" s="120"/>
      <c r="I111" s="116">
        <f>10+8-8</f>
        <v>10</v>
      </c>
      <c r="J111" s="107"/>
      <c r="K111" s="107">
        <f>136+150</f>
        <v>286</v>
      </c>
      <c r="L111" s="107"/>
      <c r="M111" s="107"/>
      <c r="N111" s="107"/>
      <c r="O111" s="107"/>
      <c r="P111" s="41">
        <f t="shared" si="21"/>
        <v>296</v>
      </c>
      <c r="Q111" s="109">
        <f>40517*1.16</f>
        <v>46999.719999999994</v>
      </c>
      <c r="R111" s="70">
        <f>+Q111*P111</f>
        <v>13911917.119999997</v>
      </c>
      <c r="S111" s="107">
        <v>0</v>
      </c>
      <c r="T111" s="52">
        <f t="shared" si="22"/>
        <v>296</v>
      </c>
      <c r="U111" s="236">
        <f t="shared" si="23"/>
        <v>13911917.119999997</v>
      </c>
      <c r="V111" s="114">
        <f t="shared" si="17"/>
        <v>0</v>
      </c>
    </row>
    <row r="112" spans="1:22" ht="24" customHeight="1" x14ac:dyDescent="0.3">
      <c r="A112" s="45" t="s">
        <v>250</v>
      </c>
      <c r="B112" s="107"/>
      <c r="C112" s="107"/>
      <c r="D112" s="107">
        <v>0</v>
      </c>
      <c r="E112" s="108"/>
      <c r="F112" s="109"/>
      <c r="G112" s="110"/>
      <c r="H112" s="120"/>
      <c r="I112" s="116">
        <v>10</v>
      </c>
      <c r="J112" s="107"/>
      <c r="K112" s="107">
        <v>10</v>
      </c>
      <c r="L112" s="107"/>
      <c r="M112" s="107"/>
      <c r="N112" s="107"/>
      <c r="O112" s="107"/>
      <c r="P112" s="41">
        <f t="shared" si="21"/>
        <v>20</v>
      </c>
      <c r="Q112" s="109">
        <f>63879*1.16</f>
        <v>74099.64</v>
      </c>
      <c r="R112" s="70">
        <f>+Q112*P112</f>
        <v>1481992.8</v>
      </c>
      <c r="S112" s="107">
        <v>523</v>
      </c>
      <c r="T112" s="52">
        <f t="shared" si="22"/>
        <v>20</v>
      </c>
      <c r="U112" s="236">
        <f t="shared" si="23"/>
        <v>1481992.8</v>
      </c>
      <c r="V112" s="114">
        <f t="shared" si="17"/>
        <v>0</v>
      </c>
    </row>
    <row r="113" spans="1:26" ht="18.75" customHeight="1" x14ac:dyDescent="0.3">
      <c r="A113" s="45" t="s">
        <v>211</v>
      </c>
      <c r="B113" s="107"/>
      <c r="C113" s="107"/>
      <c r="D113" s="107"/>
      <c r="E113" s="108"/>
      <c r="F113" s="109"/>
      <c r="G113" s="110"/>
      <c r="H113" s="120"/>
      <c r="I113" s="116">
        <v>15</v>
      </c>
      <c r="J113" s="107"/>
      <c r="K113" s="107"/>
      <c r="L113" s="107"/>
      <c r="M113" s="107"/>
      <c r="N113" s="107"/>
      <c r="O113" s="107"/>
      <c r="P113" s="41">
        <f t="shared" si="21"/>
        <v>15</v>
      </c>
      <c r="Q113" s="70">
        <f>15776*1.16</f>
        <v>18300.16</v>
      </c>
      <c r="R113" s="70">
        <f t="shared" ref="R113:R121" si="24">+Q113*P113</f>
        <v>274502.40000000002</v>
      </c>
      <c r="S113" s="107">
        <v>0</v>
      </c>
      <c r="T113" s="52">
        <f t="shared" si="22"/>
        <v>15</v>
      </c>
      <c r="U113" s="236">
        <f t="shared" si="23"/>
        <v>274502.40000000002</v>
      </c>
      <c r="V113" s="114">
        <f t="shared" si="17"/>
        <v>0</v>
      </c>
    </row>
    <row r="114" spans="1:26" ht="24" customHeight="1" x14ac:dyDescent="0.3">
      <c r="A114" s="45" t="s">
        <v>374</v>
      </c>
      <c r="B114" s="107"/>
      <c r="C114" s="107"/>
      <c r="D114" s="107">
        <v>20</v>
      </c>
      <c r="E114" s="108">
        <v>10</v>
      </c>
      <c r="F114" s="109">
        <f>26725*1.16</f>
        <v>31000.999999999996</v>
      </c>
      <c r="G114" s="110">
        <f>+E114*F114</f>
        <v>310009.99999999994</v>
      </c>
      <c r="H114" s="120"/>
      <c r="I114" s="116"/>
      <c r="J114" s="107"/>
      <c r="K114" s="107">
        <v>21</v>
      </c>
      <c r="L114" s="107"/>
      <c r="M114" s="107"/>
      <c r="N114" s="107"/>
      <c r="O114" s="107"/>
      <c r="P114" s="41">
        <f t="shared" si="21"/>
        <v>21</v>
      </c>
      <c r="Q114" s="109">
        <f>26725*1.16</f>
        <v>31000.999999999996</v>
      </c>
      <c r="R114" s="70">
        <f t="shared" si="24"/>
        <v>651020.99999999988</v>
      </c>
      <c r="S114" s="107">
        <v>0</v>
      </c>
      <c r="T114" s="52">
        <f t="shared" si="22"/>
        <v>31</v>
      </c>
      <c r="U114" s="236">
        <f t="shared" si="23"/>
        <v>961030.99999999977</v>
      </c>
      <c r="V114" s="114">
        <f t="shared" si="17"/>
        <v>0</v>
      </c>
    </row>
    <row r="115" spans="1:26" ht="18.75" customHeight="1" x14ac:dyDescent="0.3">
      <c r="A115" s="45" t="s">
        <v>363</v>
      </c>
      <c r="B115" s="107"/>
      <c r="C115" s="107"/>
      <c r="D115" s="107">
        <v>409</v>
      </c>
      <c r="E115" s="108"/>
      <c r="F115" s="109"/>
      <c r="G115" s="110"/>
      <c r="H115" s="120"/>
      <c r="I115" s="116">
        <v>70</v>
      </c>
      <c r="J115" s="107"/>
      <c r="K115" s="107">
        <v>59</v>
      </c>
      <c r="L115" s="107"/>
      <c r="M115" s="107"/>
      <c r="N115" s="107"/>
      <c r="O115" s="107"/>
      <c r="P115" s="41">
        <f t="shared" si="21"/>
        <v>129</v>
      </c>
      <c r="Q115" s="109">
        <f>4828*1.16</f>
        <v>5600.48</v>
      </c>
      <c r="R115" s="70">
        <f t="shared" si="24"/>
        <v>722461.91999999993</v>
      </c>
      <c r="S115" s="107">
        <v>409</v>
      </c>
      <c r="T115" s="52">
        <f t="shared" si="22"/>
        <v>129</v>
      </c>
      <c r="U115" s="236">
        <f t="shared" si="23"/>
        <v>722461.91999999993</v>
      </c>
      <c r="V115" s="114">
        <f t="shared" si="17"/>
        <v>0</v>
      </c>
      <c r="Z115" s="114"/>
    </row>
    <row r="116" spans="1:26" ht="18.75" customHeight="1" x14ac:dyDescent="0.3">
      <c r="A116" s="45" t="s">
        <v>375</v>
      </c>
      <c r="B116" s="107"/>
      <c r="C116" s="107"/>
      <c r="D116" s="107">
        <v>73</v>
      </c>
      <c r="E116" s="108"/>
      <c r="F116" s="109"/>
      <c r="G116" s="110"/>
      <c r="H116" s="120"/>
      <c r="I116" s="116">
        <v>1</v>
      </c>
      <c r="J116" s="107"/>
      <c r="K116" s="107">
        <v>97</v>
      </c>
      <c r="L116" s="107"/>
      <c r="M116" s="107"/>
      <c r="N116" s="107"/>
      <c r="O116" s="107"/>
      <c r="P116" s="41">
        <f t="shared" si="21"/>
        <v>98</v>
      </c>
      <c r="Q116" s="109">
        <f>15517*1.16</f>
        <v>17999.719999999998</v>
      </c>
      <c r="R116" s="70">
        <f t="shared" si="24"/>
        <v>1763972.5599999998</v>
      </c>
      <c r="S116" s="107">
        <v>73</v>
      </c>
      <c r="T116" s="52">
        <f t="shared" si="22"/>
        <v>98</v>
      </c>
      <c r="U116" s="236">
        <f t="shared" si="23"/>
        <v>1763972.5599999998</v>
      </c>
      <c r="V116" s="114">
        <f t="shared" si="17"/>
        <v>0</v>
      </c>
    </row>
    <row r="117" spans="1:26" ht="18.75" customHeight="1" x14ac:dyDescent="0.3">
      <c r="A117" s="45" t="s">
        <v>376</v>
      </c>
      <c r="B117" s="107"/>
      <c r="C117" s="107"/>
      <c r="D117" s="107">
        <v>338</v>
      </c>
      <c r="E117" s="108"/>
      <c r="F117" s="109"/>
      <c r="G117" s="110"/>
      <c r="H117" s="120"/>
      <c r="I117" s="116">
        <v>24</v>
      </c>
      <c r="J117" s="107"/>
      <c r="K117" s="107">
        <v>212</v>
      </c>
      <c r="L117" s="107"/>
      <c r="M117" s="107"/>
      <c r="N117" s="107"/>
      <c r="O117" s="107"/>
      <c r="P117" s="41">
        <f t="shared" si="21"/>
        <v>236</v>
      </c>
      <c r="Q117" s="109">
        <f>36207*1.16</f>
        <v>42000.119999999995</v>
      </c>
      <c r="R117" s="70">
        <f t="shared" si="24"/>
        <v>9912028.3199999984</v>
      </c>
      <c r="S117" s="107">
        <v>338</v>
      </c>
      <c r="T117" s="52">
        <f t="shared" si="22"/>
        <v>236</v>
      </c>
      <c r="U117" s="236">
        <f t="shared" si="23"/>
        <v>9912028.3199999984</v>
      </c>
      <c r="V117" s="114">
        <f t="shared" si="17"/>
        <v>0</v>
      </c>
    </row>
    <row r="118" spans="1:26" ht="18.75" customHeight="1" x14ac:dyDescent="0.3">
      <c r="A118" s="45" t="s">
        <v>377</v>
      </c>
      <c r="B118" s="107"/>
      <c r="C118" s="107"/>
      <c r="D118" s="107"/>
      <c r="E118" s="108"/>
      <c r="F118" s="109"/>
      <c r="G118" s="110"/>
      <c r="H118" s="120"/>
      <c r="I118" s="116"/>
      <c r="J118" s="107"/>
      <c r="K118" s="107">
        <v>39</v>
      </c>
      <c r="L118" s="107"/>
      <c r="M118" s="107"/>
      <c r="N118" s="107"/>
      <c r="O118" s="107"/>
      <c r="P118" s="41">
        <f t="shared" si="21"/>
        <v>39</v>
      </c>
      <c r="Q118" s="109">
        <f>15431*1.16</f>
        <v>17899.96</v>
      </c>
      <c r="R118" s="70">
        <f t="shared" si="24"/>
        <v>698098.44</v>
      </c>
      <c r="S118" s="107">
        <v>25</v>
      </c>
      <c r="T118" s="52">
        <f t="shared" si="22"/>
        <v>39</v>
      </c>
      <c r="U118" s="236">
        <f t="shared" si="23"/>
        <v>698098.44</v>
      </c>
      <c r="V118" s="114">
        <f t="shared" si="17"/>
        <v>0</v>
      </c>
    </row>
    <row r="119" spans="1:26" ht="24" customHeight="1" x14ac:dyDescent="0.3">
      <c r="A119" s="45" t="s">
        <v>378</v>
      </c>
      <c r="B119" s="107"/>
      <c r="C119" s="107"/>
      <c r="D119" s="107">
        <v>30</v>
      </c>
      <c r="E119" s="108">
        <v>3</v>
      </c>
      <c r="F119" s="109">
        <f>13190*1.16</f>
        <v>15300.4</v>
      </c>
      <c r="G119" s="110">
        <f>+E119*F119</f>
        <v>45901.2</v>
      </c>
      <c r="H119" s="120"/>
      <c r="I119" s="116"/>
      <c r="J119" s="107"/>
      <c r="K119" s="107">
        <v>110</v>
      </c>
      <c r="L119" s="107"/>
      <c r="M119" s="107"/>
      <c r="N119" s="107"/>
      <c r="O119" s="107"/>
      <c r="P119" s="41">
        <f t="shared" si="21"/>
        <v>110</v>
      </c>
      <c r="Q119" s="109">
        <f>13190*1.16</f>
        <v>15300.4</v>
      </c>
      <c r="R119" s="70">
        <f t="shared" si="24"/>
        <v>1683044</v>
      </c>
      <c r="S119" s="107">
        <v>30</v>
      </c>
      <c r="T119" s="52">
        <f t="shared" si="22"/>
        <v>113</v>
      </c>
      <c r="U119" s="236">
        <f t="shared" si="23"/>
        <v>1728945.2</v>
      </c>
      <c r="V119" s="114">
        <f t="shared" si="17"/>
        <v>0</v>
      </c>
    </row>
    <row r="120" spans="1:26" ht="18.75" customHeight="1" x14ac:dyDescent="0.3">
      <c r="A120" s="45" t="s">
        <v>332</v>
      </c>
      <c r="B120" s="107"/>
      <c r="C120" s="107"/>
      <c r="D120" s="107"/>
      <c r="E120" s="108"/>
      <c r="F120" s="109"/>
      <c r="G120" s="110"/>
      <c r="H120" s="120"/>
      <c r="I120" s="116"/>
      <c r="J120" s="107"/>
      <c r="K120" s="107">
        <v>10</v>
      </c>
      <c r="L120" s="107"/>
      <c r="M120" s="107"/>
      <c r="N120" s="107"/>
      <c r="O120" s="107"/>
      <c r="P120" s="41">
        <f t="shared" si="21"/>
        <v>10</v>
      </c>
      <c r="Q120" s="109">
        <f>13190*1.16</f>
        <v>15300.4</v>
      </c>
      <c r="R120" s="70">
        <f t="shared" si="24"/>
        <v>153004</v>
      </c>
      <c r="S120" s="107">
        <v>2</v>
      </c>
      <c r="T120" s="52">
        <f t="shared" si="22"/>
        <v>10</v>
      </c>
      <c r="U120" s="236">
        <f t="shared" si="23"/>
        <v>153004</v>
      </c>
      <c r="V120" s="114">
        <f t="shared" si="17"/>
        <v>0</v>
      </c>
    </row>
    <row r="121" spans="1:26" ht="18.75" customHeight="1" x14ac:dyDescent="0.3">
      <c r="A121" s="45" t="s">
        <v>251</v>
      </c>
      <c r="B121" s="107"/>
      <c r="C121" s="107"/>
      <c r="D121" s="107"/>
      <c r="E121" s="108"/>
      <c r="F121" s="109"/>
      <c r="G121" s="110"/>
      <c r="H121" s="120"/>
      <c r="I121" s="116"/>
      <c r="J121" s="107"/>
      <c r="K121" s="107">
        <v>4</v>
      </c>
      <c r="L121" s="107"/>
      <c r="M121" s="107"/>
      <c r="N121" s="107"/>
      <c r="O121" s="107"/>
      <c r="P121" s="41">
        <f t="shared" si="21"/>
        <v>4</v>
      </c>
      <c r="Q121" s="109">
        <f>27586*1.16</f>
        <v>31999.759999999998</v>
      </c>
      <c r="R121" s="70">
        <f t="shared" si="24"/>
        <v>127999.03999999999</v>
      </c>
      <c r="S121" s="107">
        <v>0</v>
      </c>
      <c r="T121" s="52">
        <f t="shared" si="22"/>
        <v>4</v>
      </c>
      <c r="U121" s="236">
        <f t="shared" si="23"/>
        <v>127999.03999999999</v>
      </c>
      <c r="V121" s="114">
        <f t="shared" si="17"/>
        <v>0</v>
      </c>
    </row>
    <row r="122" spans="1:26" ht="18.75" customHeight="1" x14ac:dyDescent="0.3">
      <c r="A122" s="106" t="s">
        <v>170</v>
      </c>
      <c r="B122" s="107"/>
      <c r="C122" s="107"/>
      <c r="D122" s="107">
        <v>0</v>
      </c>
      <c r="E122" s="108">
        <v>1</v>
      </c>
      <c r="F122" s="109">
        <v>20000</v>
      </c>
      <c r="G122" s="110">
        <f>+E122*F122</f>
        <v>20000</v>
      </c>
      <c r="H122" s="120"/>
      <c r="I122" s="116"/>
      <c r="J122" s="107"/>
      <c r="K122" s="107"/>
      <c r="L122" s="107"/>
      <c r="M122" s="107"/>
      <c r="N122" s="107"/>
      <c r="O122" s="107"/>
      <c r="P122" s="107"/>
      <c r="Q122" s="70"/>
      <c r="R122" s="70"/>
      <c r="S122" s="107"/>
      <c r="T122" s="52">
        <f t="shared" si="22"/>
        <v>1</v>
      </c>
      <c r="U122" s="236">
        <f>+T122*F122</f>
        <v>20000</v>
      </c>
      <c r="V122" s="114">
        <f t="shared" si="17"/>
        <v>0</v>
      </c>
    </row>
    <row r="123" spans="1:26" ht="26.25" customHeight="1" x14ac:dyDescent="0.3">
      <c r="A123" s="245" t="s">
        <v>371</v>
      </c>
      <c r="B123" s="107"/>
      <c r="C123" s="107"/>
      <c r="D123" s="107"/>
      <c r="E123" s="108"/>
      <c r="F123" s="109"/>
      <c r="G123" s="110"/>
      <c r="H123" s="120"/>
      <c r="I123" s="116"/>
      <c r="J123" s="107"/>
      <c r="K123" s="107">
        <v>4</v>
      </c>
      <c r="L123" s="107"/>
      <c r="M123" s="107"/>
      <c r="N123" s="107"/>
      <c r="O123" s="107"/>
      <c r="P123" s="41">
        <f t="shared" ref="P123:P131" si="25">SUBTOTAL(9,I123:O123)</f>
        <v>4</v>
      </c>
      <c r="Q123" s="109">
        <f>185345*1.16</f>
        <v>215000.19999999998</v>
      </c>
      <c r="R123" s="70">
        <f>+Q123*P123</f>
        <v>860000.79999999993</v>
      </c>
      <c r="S123" s="107">
        <v>2</v>
      </c>
      <c r="T123" s="52">
        <f t="shared" si="22"/>
        <v>4</v>
      </c>
      <c r="U123" s="236">
        <f t="shared" si="23"/>
        <v>860000.79999999993</v>
      </c>
      <c r="V123" s="114">
        <f t="shared" si="17"/>
        <v>0</v>
      </c>
    </row>
    <row r="124" spans="1:26" ht="22.5" customHeight="1" x14ac:dyDescent="0.3">
      <c r="A124" s="45" t="s">
        <v>367</v>
      </c>
      <c r="B124" s="107"/>
      <c r="C124" s="107"/>
      <c r="D124" s="107"/>
      <c r="E124" s="108"/>
      <c r="F124" s="109"/>
      <c r="G124" s="110"/>
      <c r="H124" s="120"/>
      <c r="I124" s="116"/>
      <c r="J124" s="107"/>
      <c r="K124" s="107">
        <v>6</v>
      </c>
      <c r="L124" s="107"/>
      <c r="M124" s="107"/>
      <c r="N124" s="107"/>
      <c r="O124" s="107"/>
      <c r="P124" s="41">
        <f t="shared" si="25"/>
        <v>6</v>
      </c>
      <c r="Q124" s="109">
        <f>25000*1.16</f>
        <v>28999.999999999996</v>
      </c>
      <c r="R124" s="70">
        <f>+Q124*P124</f>
        <v>173999.99999999997</v>
      </c>
      <c r="S124" s="107">
        <v>0</v>
      </c>
      <c r="T124" s="52">
        <f t="shared" si="22"/>
        <v>6</v>
      </c>
      <c r="U124" s="236">
        <f t="shared" si="23"/>
        <v>173999.99999999997</v>
      </c>
      <c r="V124" s="114">
        <f t="shared" si="17"/>
        <v>0</v>
      </c>
    </row>
    <row r="125" spans="1:26" ht="22.5" customHeight="1" x14ac:dyDescent="0.3">
      <c r="A125" s="45" t="s">
        <v>368</v>
      </c>
      <c r="B125" s="107"/>
      <c r="C125" s="107"/>
      <c r="D125" s="107"/>
      <c r="E125" s="108"/>
      <c r="F125" s="109"/>
      <c r="G125" s="110"/>
      <c r="H125" s="120"/>
      <c r="I125" s="116"/>
      <c r="J125" s="107"/>
      <c r="K125" s="107">
        <v>12</v>
      </c>
      <c r="L125" s="107"/>
      <c r="M125" s="107"/>
      <c r="N125" s="107"/>
      <c r="O125" s="107"/>
      <c r="P125" s="41">
        <f t="shared" si="25"/>
        <v>12</v>
      </c>
      <c r="Q125" s="109">
        <f>7759*1.16</f>
        <v>9000.4399999999987</v>
      </c>
      <c r="R125" s="70">
        <f>+Q125*P125</f>
        <v>108005.27999999998</v>
      </c>
      <c r="S125" s="107">
        <v>0</v>
      </c>
      <c r="T125" s="52">
        <f t="shared" si="22"/>
        <v>12</v>
      </c>
      <c r="U125" s="236">
        <f t="shared" si="23"/>
        <v>108005.27999999998</v>
      </c>
      <c r="V125" s="114">
        <f t="shared" si="17"/>
        <v>0</v>
      </c>
    </row>
    <row r="126" spans="1:26" ht="22.5" customHeight="1" x14ac:dyDescent="0.3">
      <c r="A126" s="45" t="s">
        <v>369</v>
      </c>
      <c r="B126" s="107"/>
      <c r="C126" s="107"/>
      <c r="D126" s="107"/>
      <c r="E126" s="108"/>
      <c r="F126" s="109"/>
      <c r="G126" s="110"/>
      <c r="H126" s="120"/>
      <c r="I126" s="116"/>
      <c r="J126" s="107"/>
      <c r="K126" s="107">
        <v>12</v>
      </c>
      <c r="L126" s="107"/>
      <c r="M126" s="107"/>
      <c r="N126" s="107"/>
      <c r="O126" s="107"/>
      <c r="P126" s="41">
        <f t="shared" si="25"/>
        <v>12</v>
      </c>
      <c r="Q126" s="109">
        <f>73276*1.16</f>
        <v>85000.159999999989</v>
      </c>
      <c r="R126" s="70">
        <f>+Q126*P126</f>
        <v>1020001.9199999999</v>
      </c>
      <c r="S126" s="107">
        <v>0</v>
      </c>
      <c r="T126" s="52">
        <f t="shared" si="22"/>
        <v>12</v>
      </c>
      <c r="U126" s="236">
        <f t="shared" si="23"/>
        <v>1020001.9199999999</v>
      </c>
      <c r="V126" s="114">
        <f t="shared" si="17"/>
        <v>0</v>
      </c>
    </row>
    <row r="127" spans="1:26" ht="22.5" customHeight="1" x14ac:dyDescent="0.3">
      <c r="A127" s="45" t="s">
        <v>370</v>
      </c>
      <c r="B127" s="107"/>
      <c r="C127" s="107"/>
      <c r="D127" s="107"/>
      <c r="E127" s="108"/>
      <c r="F127" s="109"/>
      <c r="G127" s="110"/>
      <c r="H127" s="120"/>
      <c r="I127" s="116"/>
      <c r="J127" s="107"/>
      <c r="K127" s="107">
        <v>6</v>
      </c>
      <c r="L127" s="107"/>
      <c r="M127" s="107"/>
      <c r="N127" s="107"/>
      <c r="O127" s="107"/>
      <c r="P127" s="41">
        <f t="shared" si="25"/>
        <v>6</v>
      </c>
      <c r="Q127" s="109">
        <f>344828*1.16</f>
        <v>400000.48</v>
      </c>
      <c r="R127" s="70">
        <f>+Q127*P127</f>
        <v>2400002.88</v>
      </c>
      <c r="S127" s="107">
        <v>0</v>
      </c>
      <c r="T127" s="52">
        <f t="shared" si="22"/>
        <v>6</v>
      </c>
      <c r="U127" s="236">
        <f t="shared" si="23"/>
        <v>2400002.88</v>
      </c>
      <c r="V127" s="114">
        <f t="shared" si="17"/>
        <v>0</v>
      </c>
    </row>
    <row r="128" spans="1:26" ht="18.75" customHeight="1" x14ac:dyDescent="0.3">
      <c r="A128" s="246" t="s">
        <v>372</v>
      </c>
      <c r="B128" s="107"/>
      <c r="C128" s="107"/>
      <c r="D128" s="107"/>
      <c r="E128" s="108"/>
      <c r="F128" s="109"/>
      <c r="G128" s="110"/>
      <c r="H128" s="120"/>
      <c r="I128" s="116"/>
      <c r="J128" s="107"/>
      <c r="K128" s="107">
        <v>4</v>
      </c>
      <c r="L128" s="107"/>
      <c r="M128" s="107"/>
      <c r="N128" s="107"/>
      <c r="O128" s="107"/>
      <c r="P128" s="41">
        <f t="shared" si="25"/>
        <v>4</v>
      </c>
      <c r="Q128" s="109">
        <f>260344*1.16</f>
        <v>301999.03999999998</v>
      </c>
      <c r="R128" s="70">
        <f t="shared" ref="R128:R147" si="26">+Q128*P128</f>
        <v>1207996.1599999999</v>
      </c>
      <c r="S128" s="107">
        <v>0</v>
      </c>
      <c r="T128" s="52">
        <f t="shared" si="22"/>
        <v>4</v>
      </c>
      <c r="U128" s="236">
        <f t="shared" si="23"/>
        <v>1207996.1599999999</v>
      </c>
      <c r="V128" s="114">
        <f t="shared" si="17"/>
        <v>0</v>
      </c>
    </row>
    <row r="129" spans="1:27" ht="18.75" customHeight="1" x14ac:dyDescent="0.3">
      <c r="A129" s="247" t="s">
        <v>373</v>
      </c>
      <c r="B129" s="107"/>
      <c r="C129" s="107"/>
      <c r="D129" s="107"/>
      <c r="E129" s="108"/>
      <c r="F129" s="109"/>
      <c r="G129" s="110"/>
      <c r="H129" s="120"/>
      <c r="I129" s="116"/>
      <c r="J129" s="107"/>
      <c r="K129" s="107">
        <v>6</v>
      </c>
      <c r="L129" s="107"/>
      <c r="M129" s="107"/>
      <c r="N129" s="107"/>
      <c r="O129" s="107"/>
      <c r="P129" s="41">
        <f t="shared" si="25"/>
        <v>6</v>
      </c>
      <c r="Q129" s="109">
        <f>43104*1.16</f>
        <v>50000.639999999999</v>
      </c>
      <c r="R129" s="70">
        <f t="shared" si="26"/>
        <v>300003.83999999997</v>
      </c>
      <c r="S129" s="107">
        <v>0</v>
      </c>
      <c r="T129" s="52">
        <f t="shared" si="22"/>
        <v>6</v>
      </c>
      <c r="U129" s="236">
        <f t="shared" si="23"/>
        <v>300003.83999999997</v>
      </c>
      <c r="V129" s="114">
        <f t="shared" si="17"/>
        <v>0</v>
      </c>
    </row>
    <row r="130" spans="1:27" ht="18.75" customHeight="1" x14ac:dyDescent="0.3">
      <c r="A130" s="116" t="s">
        <v>273</v>
      </c>
      <c r="B130" s="107"/>
      <c r="C130" s="107"/>
      <c r="D130" s="107"/>
      <c r="E130" s="108"/>
      <c r="F130" s="107"/>
      <c r="G130" s="110"/>
      <c r="H130" s="120"/>
      <c r="I130" s="116"/>
      <c r="J130" s="107"/>
      <c r="K130" s="107">
        <v>2</v>
      </c>
      <c r="L130" s="107"/>
      <c r="M130" s="107"/>
      <c r="N130" s="107"/>
      <c r="O130" s="107"/>
      <c r="P130" s="41">
        <f t="shared" si="25"/>
        <v>2</v>
      </c>
      <c r="Q130" s="109">
        <f>250242*1.16</f>
        <v>290280.71999999997</v>
      </c>
      <c r="R130" s="70">
        <f t="shared" si="26"/>
        <v>580561.43999999994</v>
      </c>
      <c r="S130" s="107">
        <v>0</v>
      </c>
      <c r="T130" s="52">
        <f t="shared" si="22"/>
        <v>2</v>
      </c>
      <c r="U130" s="236">
        <f t="shared" si="23"/>
        <v>580561.43999999994</v>
      </c>
      <c r="V130" s="114">
        <f t="shared" si="17"/>
        <v>0</v>
      </c>
    </row>
    <row r="131" spans="1:27" ht="18.75" customHeight="1" x14ac:dyDescent="0.3">
      <c r="A131" s="45" t="s">
        <v>381</v>
      </c>
      <c r="B131" s="107"/>
      <c r="C131" s="107"/>
      <c r="D131" s="107"/>
      <c r="E131" s="108"/>
      <c r="F131" s="109"/>
      <c r="G131" s="110"/>
      <c r="H131" s="120"/>
      <c r="I131" s="116"/>
      <c r="J131" s="107"/>
      <c r="K131" s="107">
        <v>2</v>
      </c>
      <c r="L131" s="107"/>
      <c r="M131" s="107"/>
      <c r="N131" s="107"/>
      <c r="O131" s="107"/>
      <c r="P131" s="41">
        <f t="shared" si="25"/>
        <v>2</v>
      </c>
      <c r="Q131" s="109">
        <f>465518*1.16</f>
        <v>540000.88</v>
      </c>
      <c r="R131" s="70">
        <f t="shared" si="26"/>
        <v>1080001.76</v>
      </c>
      <c r="S131" s="107">
        <v>0</v>
      </c>
      <c r="T131" s="52">
        <f t="shared" si="22"/>
        <v>2</v>
      </c>
      <c r="U131" s="236">
        <f t="shared" si="23"/>
        <v>1080001.76</v>
      </c>
      <c r="V131" s="114">
        <f t="shared" si="17"/>
        <v>0</v>
      </c>
    </row>
    <row r="132" spans="1:27" ht="16.5" customHeight="1" x14ac:dyDescent="0.3">
      <c r="A132" s="45" t="s">
        <v>48</v>
      </c>
      <c r="B132" s="107"/>
      <c r="C132" s="107">
        <v>1</v>
      </c>
      <c r="D132" s="107">
        <v>0</v>
      </c>
      <c r="E132" s="108">
        <v>1</v>
      </c>
      <c r="F132" s="97">
        <f>4052892+25800000+843643</f>
        <v>30696535</v>
      </c>
      <c r="G132" s="110">
        <f>+F132*E132</f>
        <v>30696535</v>
      </c>
      <c r="H132" s="120"/>
      <c r="I132" s="116"/>
      <c r="J132" s="107"/>
      <c r="K132" s="107"/>
      <c r="L132" s="107"/>
      <c r="M132" s="107"/>
      <c r="N132" s="107"/>
      <c r="O132" s="107"/>
      <c r="P132" s="107"/>
      <c r="Q132" s="70"/>
      <c r="R132" s="70">
        <f t="shared" si="26"/>
        <v>0</v>
      </c>
      <c r="S132" s="107"/>
      <c r="T132" s="52">
        <f t="shared" si="22"/>
        <v>1</v>
      </c>
      <c r="U132" s="236">
        <f>+T132*F132</f>
        <v>30696535</v>
      </c>
      <c r="V132" s="114">
        <f t="shared" si="17"/>
        <v>0</v>
      </c>
      <c r="X132" s="75"/>
      <c r="Y132" s="72"/>
      <c r="AA132" s="114"/>
    </row>
    <row r="133" spans="1:27" ht="16.5" customHeight="1" x14ac:dyDescent="0.3">
      <c r="A133" s="53" t="s">
        <v>500</v>
      </c>
      <c r="B133" s="107"/>
      <c r="C133" s="107"/>
      <c r="D133" s="107"/>
      <c r="E133" s="108"/>
      <c r="F133" s="97"/>
      <c r="G133" s="118">
        <f>SUM(G109:G132)</f>
        <v>31272447.600000001</v>
      </c>
      <c r="H133" s="120"/>
      <c r="I133" s="116"/>
      <c r="J133" s="107"/>
      <c r="K133" s="107"/>
      <c r="L133" s="107"/>
      <c r="M133" s="107"/>
      <c r="N133" s="107"/>
      <c r="O133" s="107"/>
      <c r="P133" s="107"/>
      <c r="Q133" s="70"/>
      <c r="R133" s="254">
        <f>SUM(R109:R132)</f>
        <v>58270184.879999995</v>
      </c>
      <c r="S133" s="107"/>
      <c r="T133" s="107"/>
      <c r="U133" s="118">
        <f>SUM(U109:U132)</f>
        <v>89542632.479999989</v>
      </c>
      <c r="V133" s="114">
        <f t="shared" si="17"/>
        <v>0</v>
      </c>
      <c r="X133" s="75"/>
      <c r="Y133" s="72"/>
      <c r="AA133" s="114"/>
    </row>
    <row r="134" spans="1:27" ht="16.5" customHeight="1" x14ac:dyDescent="0.3">
      <c r="A134" s="53" t="s">
        <v>49</v>
      </c>
      <c r="B134" s="107"/>
      <c r="C134" s="107"/>
      <c r="D134" s="107"/>
      <c r="E134" s="108"/>
      <c r="F134" s="117"/>
      <c r="G134" s="118">
        <f>+G133+G107</f>
        <v>59928889.600000001</v>
      </c>
      <c r="H134" s="120"/>
      <c r="I134" s="116"/>
      <c r="J134" s="107"/>
      <c r="K134" s="107"/>
      <c r="L134" s="107"/>
      <c r="M134" s="107"/>
      <c r="N134" s="107"/>
      <c r="O134" s="107"/>
      <c r="P134" s="107"/>
      <c r="Q134" s="70"/>
      <c r="R134" s="254">
        <f>+R133+R107</f>
        <v>58270184.879999995</v>
      </c>
      <c r="S134" s="107"/>
      <c r="T134" s="107"/>
      <c r="U134" s="118">
        <f>+U133+U107</f>
        <v>118199074.47999999</v>
      </c>
      <c r="V134" s="114">
        <f t="shared" si="17"/>
        <v>0</v>
      </c>
      <c r="AA134" s="75"/>
    </row>
    <row r="135" spans="1:27" ht="16.5" customHeight="1" x14ac:dyDescent="0.3">
      <c r="A135" s="119" t="s">
        <v>50</v>
      </c>
      <c r="B135" s="107"/>
      <c r="C135" s="107"/>
      <c r="D135" s="107"/>
      <c r="E135" s="108"/>
      <c r="F135" s="117"/>
      <c r="G135" s="118"/>
      <c r="H135" s="120"/>
      <c r="I135" s="116"/>
      <c r="J135" s="107"/>
      <c r="K135" s="107"/>
      <c r="L135" s="107"/>
      <c r="M135" s="107"/>
      <c r="N135" s="107"/>
      <c r="O135" s="107"/>
      <c r="P135" s="107"/>
      <c r="Q135" s="70"/>
      <c r="R135" s="70"/>
      <c r="S135" s="107"/>
      <c r="T135" s="44"/>
      <c r="U135" s="237"/>
      <c r="V135" s="114">
        <f t="shared" ref="V135:V198" si="27">+G135+R135-U135</f>
        <v>0</v>
      </c>
    </row>
    <row r="136" spans="1:27" s="89" customFormat="1" ht="18.75" customHeight="1" x14ac:dyDescent="0.3">
      <c r="A136" s="121" t="s">
        <v>202</v>
      </c>
      <c r="B136" s="81"/>
      <c r="C136" s="81"/>
      <c r="D136" s="81"/>
      <c r="E136" s="59"/>
      <c r="F136" s="98"/>
      <c r="G136" s="99"/>
      <c r="H136" s="96"/>
      <c r="I136" s="231">
        <v>10</v>
      </c>
      <c r="J136" s="81"/>
      <c r="K136" s="81">
        <v>59</v>
      </c>
      <c r="L136" s="81"/>
      <c r="M136" s="81"/>
      <c r="N136" s="81"/>
      <c r="O136" s="81"/>
      <c r="P136" s="41">
        <f t="shared" ref="P136:P148" si="28">SUBTOTAL(9,I136:O136)</f>
        <v>69</v>
      </c>
      <c r="Q136" s="20">
        <f>5189.66*1.16</f>
        <v>6020.0055999999995</v>
      </c>
      <c r="R136" s="20">
        <f t="shared" si="26"/>
        <v>415380.38639999996</v>
      </c>
      <c r="S136" s="81">
        <v>296</v>
      </c>
      <c r="T136" s="52">
        <f t="shared" ref="T136:T199" si="29">+E136+P136</f>
        <v>69</v>
      </c>
      <c r="U136" s="236">
        <f>G136+R136</f>
        <v>415380.38639999996</v>
      </c>
      <c r="V136" s="114">
        <f t="shared" si="27"/>
        <v>0</v>
      </c>
      <c r="W136" s="122"/>
      <c r="X136" s="123"/>
    </row>
    <row r="137" spans="1:27" s="89" customFormat="1" ht="18.75" customHeight="1" x14ac:dyDescent="0.3">
      <c r="A137" s="121" t="s">
        <v>276</v>
      </c>
      <c r="B137" s="81"/>
      <c r="C137" s="81"/>
      <c r="D137" s="81"/>
      <c r="E137" s="59"/>
      <c r="F137" s="98"/>
      <c r="G137" s="99"/>
      <c r="H137" s="96"/>
      <c r="I137" s="231"/>
      <c r="J137" s="81"/>
      <c r="K137" s="81">
        <v>10</v>
      </c>
      <c r="L137" s="81"/>
      <c r="M137" s="81"/>
      <c r="N137" s="81"/>
      <c r="O137" s="81"/>
      <c r="P137" s="41">
        <f t="shared" si="28"/>
        <v>10</v>
      </c>
      <c r="Q137" s="20">
        <f>11551.72*1.16</f>
        <v>13399.995199999998</v>
      </c>
      <c r="R137" s="20">
        <f t="shared" si="26"/>
        <v>133999.95199999999</v>
      </c>
      <c r="S137" s="81">
        <v>0</v>
      </c>
      <c r="T137" s="52">
        <f t="shared" si="29"/>
        <v>10</v>
      </c>
      <c r="U137" s="236">
        <f t="shared" ref="U137:U170" si="30">G137+R137</f>
        <v>133999.95199999999</v>
      </c>
      <c r="V137" s="114">
        <f t="shared" si="27"/>
        <v>0</v>
      </c>
      <c r="W137" s="122"/>
      <c r="X137" s="123"/>
    </row>
    <row r="138" spans="1:27" s="89" customFormat="1" ht="18.75" customHeight="1" x14ac:dyDescent="0.3">
      <c r="A138" s="121" t="s">
        <v>268</v>
      </c>
      <c r="B138" s="81"/>
      <c r="C138" s="81"/>
      <c r="D138" s="81"/>
      <c r="E138" s="59"/>
      <c r="F138" s="98"/>
      <c r="G138" s="99"/>
      <c r="H138" s="96"/>
      <c r="I138" s="231"/>
      <c r="J138" s="81"/>
      <c r="K138" s="81">
        <v>108</v>
      </c>
      <c r="L138" s="81"/>
      <c r="M138" s="81"/>
      <c r="N138" s="81"/>
      <c r="O138" s="81"/>
      <c r="P138" s="41">
        <f t="shared" si="28"/>
        <v>108</v>
      </c>
      <c r="Q138" s="20">
        <v>2020.69</v>
      </c>
      <c r="R138" s="20">
        <f t="shared" si="26"/>
        <v>218234.52000000002</v>
      </c>
      <c r="S138" s="81">
        <v>0</v>
      </c>
      <c r="T138" s="52">
        <f t="shared" si="29"/>
        <v>108</v>
      </c>
      <c r="U138" s="236">
        <f t="shared" si="30"/>
        <v>218234.52000000002</v>
      </c>
      <c r="V138" s="114">
        <f t="shared" si="27"/>
        <v>0</v>
      </c>
      <c r="W138" s="122"/>
      <c r="X138" s="123"/>
    </row>
    <row r="139" spans="1:27" s="89" customFormat="1" ht="18.75" customHeight="1" x14ac:dyDescent="0.3">
      <c r="A139" s="121" t="s">
        <v>257</v>
      </c>
      <c r="B139" s="81"/>
      <c r="C139" s="81"/>
      <c r="D139" s="81"/>
      <c r="E139" s="59"/>
      <c r="F139" s="98"/>
      <c r="G139" s="99"/>
      <c r="H139" s="96"/>
      <c r="I139" s="231"/>
      <c r="J139" s="81"/>
      <c r="K139" s="81">
        <v>5</v>
      </c>
      <c r="L139" s="81"/>
      <c r="M139" s="81"/>
      <c r="N139" s="81"/>
      <c r="O139" s="81"/>
      <c r="P139" s="41">
        <f t="shared" si="28"/>
        <v>5</v>
      </c>
      <c r="Q139" s="20">
        <f>123275.86*1.16</f>
        <v>142999.9976</v>
      </c>
      <c r="R139" s="20">
        <f t="shared" si="26"/>
        <v>714999.98800000001</v>
      </c>
      <c r="S139" s="81">
        <v>296</v>
      </c>
      <c r="T139" s="52">
        <f t="shared" si="29"/>
        <v>5</v>
      </c>
      <c r="U139" s="236">
        <f t="shared" si="30"/>
        <v>714999.98800000001</v>
      </c>
      <c r="V139" s="114">
        <f t="shared" si="27"/>
        <v>0</v>
      </c>
      <c r="W139" s="122"/>
      <c r="X139" s="123"/>
    </row>
    <row r="140" spans="1:27" s="89" customFormat="1" ht="18.75" customHeight="1" x14ac:dyDescent="0.3">
      <c r="A140" s="121" t="s">
        <v>258</v>
      </c>
      <c r="B140" s="81"/>
      <c r="C140" s="81"/>
      <c r="D140" s="81"/>
      <c r="E140" s="59"/>
      <c r="F140" s="98"/>
      <c r="G140" s="99"/>
      <c r="H140" s="96"/>
      <c r="I140" s="231"/>
      <c r="J140" s="81"/>
      <c r="K140" s="81">
        <v>5</v>
      </c>
      <c r="L140" s="81"/>
      <c r="M140" s="81"/>
      <c r="N140" s="81"/>
      <c r="O140" s="81"/>
      <c r="P140" s="41">
        <f t="shared" si="28"/>
        <v>5</v>
      </c>
      <c r="Q140" s="20">
        <f>123275.86*1.16</f>
        <v>142999.9976</v>
      </c>
      <c r="R140" s="20">
        <f t="shared" si="26"/>
        <v>714999.98800000001</v>
      </c>
      <c r="S140" s="81">
        <v>296</v>
      </c>
      <c r="T140" s="52">
        <f t="shared" si="29"/>
        <v>5</v>
      </c>
      <c r="U140" s="236">
        <f t="shared" si="30"/>
        <v>714999.98800000001</v>
      </c>
      <c r="V140" s="114">
        <f t="shared" si="27"/>
        <v>0</v>
      </c>
      <c r="W140" s="122"/>
      <c r="X140" s="123"/>
    </row>
    <row r="141" spans="1:27" s="89" customFormat="1" ht="18.75" customHeight="1" x14ac:dyDescent="0.3">
      <c r="A141" s="121" t="s">
        <v>259</v>
      </c>
      <c r="B141" s="81"/>
      <c r="C141" s="81"/>
      <c r="D141" s="81"/>
      <c r="E141" s="59"/>
      <c r="F141" s="98"/>
      <c r="G141" s="83">
        <f t="shared" ref="G141:G148" si="31">+E141*F141</f>
        <v>0</v>
      </c>
      <c r="H141" s="96"/>
      <c r="I141" s="231"/>
      <c r="J141" s="81"/>
      <c r="K141" s="81">
        <v>140</v>
      </c>
      <c r="L141" s="81"/>
      <c r="M141" s="81"/>
      <c r="N141" s="81"/>
      <c r="O141" s="81"/>
      <c r="P141" s="41">
        <f t="shared" si="28"/>
        <v>140</v>
      </c>
      <c r="Q141" s="20">
        <f>732.76*1.16</f>
        <v>850.00159999999994</v>
      </c>
      <c r="R141" s="20">
        <f t="shared" si="26"/>
        <v>119000.22399999999</v>
      </c>
      <c r="S141" s="81">
        <v>487</v>
      </c>
      <c r="T141" s="52">
        <f t="shared" si="29"/>
        <v>140</v>
      </c>
      <c r="U141" s="236">
        <f t="shared" si="30"/>
        <v>119000.22399999999</v>
      </c>
      <c r="V141" s="114">
        <f t="shared" si="27"/>
        <v>0</v>
      </c>
      <c r="W141" s="122"/>
      <c r="X141" s="123"/>
    </row>
    <row r="142" spans="1:27" s="89" customFormat="1" ht="18.75" customHeight="1" x14ac:dyDescent="0.3">
      <c r="A142" s="121" t="s">
        <v>260</v>
      </c>
      <c r="B142" s="81"/>
      <c r="C142" s="81"/>
      <c r="D142" s="81"/>
      <c r="E142" s="59"/>
      <c r="F142" s="98"/>
      <c r="G142" s="83">
        <f t="shared" si="31"/>
        <v>0</v>
      </c>
      <c r="H142" s="96"/>
      <c r="I142" s="231"/>
      <c r="J142" s="81"/>
      <c r="K142" s="81">
        <v>272</v>
      </c>
      <c r="L142" s="81"/>
      <c r="M142" s="81"/>
      <c r="N142" s="81"/>
      <c r="O142" s="81"/>
      <c r="P142" s="41">
        <f t="shared" si="28"/>
        <v>272</v>
      </c>
      <c r="Q142" s="20">
        <f>225.86*1.16</f>
        <v>261.99759999999998</v>
      </c>
      <c r="R142" s="20">
        <f t="shared" si="26"/>
        <v>71263.347199999989</v>
      </c>
      <c r="S142" s="81">
        <v>652</v>
      </c>
      <c r="T142" s="52">
        <f t="shared" si="29"/>
        <v>272</v>
      </c>
      <c r="U142" s="236">
        <f t="shared" si="30"/>
        <v>71263.347199999989</v>
      </c>
      <c r="V142" s="114">
        <f t="shared" si="27"/>
        <v>0</v>
      </c>
      <c r="W142" s="122"/>
      <c r="X142" s="123"/>
    </row>
    <row r="143" spans="1:27" s="89" customFormat="1" ht="18.75" customHeight="1" x14ac:dyDescent="0.3">
      <c r="A143" s="121" t="s">
        <v>261</v>
      </c>
      <c r="B143" s="81"/>
      <c r="C143" s="81"/>
      <c r="D143" s="81"/>
      <c r="E143" s="59"/>
      <c r="F143" s="98"/>
      <c r="G143" s="83">
        <f t="shared" si="31"/>
        <v>0</v>
      </c>
      <c r="H143" s="96"/>
      <c r="I143" s="231"/>
      <c r="J143" s="81"/>
      <c r="K143" s="81">
        <v>41</v>
      </c>
      <c r="L143" s="81"/>
      <c r="M143" s="81"/>
      <c r="N143" s="81"/>
      <c r="O143" s="81"/>
      <c r="P143" s="41">
        <f t="shared" si="28"/>
        <v>41</v>
      </c>
      <c r="Q143" s="20">
        <f>603.45*1.16</f>
        <v>700.00199999999995</v>
      </c>
      <c r="R143" s="20">
        <f t="shared" si="26"/>
        <v>28700.081999999999</v>
      </c>
      <c r="S143" s="81">
        <v>0</v>
      </c>
      <c r="T143" s="52">
        <f t="shared" si="29"/>
        <v>41</v>
      </c>
      <c r="U143" s="236">
        <f t="shared" si="30"/>
        <v>28700.081999999999</v>
      </c>
      <c r="V143" s="114">
        <f t="shared" si="27"/>
        <v>0</v>
      </c>
      <c r="W143" s="122"/>
      <c r="X143" s="123"/>
    </row>
    <row r="144" spans="1:27" s="89" customFormat="1" ht="18.75" customHeight="1" x14ac:dyDescent="0.3">
      <c r="A144" s="121" t="s">
        <v>262</v>
      </c>
      <c r="B144" s="81"/>
      <c r="C144" s="81"/>
      <c r="D144" s="81"/>
      <c r="E144" s="59"/>
      <c r="F144" s="98"/>
      <c r="G144" s="83">
        <f t="shared" si="31"/>
        <v>0</v>
      </c>
      <c r="H144" s="96"/>
      <c r="I144" s="231"/>
      <c r="J144" s="81"/>
      <c r="K144" s="81">
        <v>17</v>
      </c>
      <c r="L144" s="81"/>
      <c r="M144" s="81"/>
      <c r="N144" s="81"/>
      <c r="O144" s="81"/>
      <c r="P144" s="41">
        <f t="shared" si="28"/>
        <v>17</v>
      </c>
      <c r="Q144" s="20">
        <f>1853.45*1.16</f>
        <v>2150.002</v>
      </c>
      <c r="R144" s="20">
        <f t="shared" si="26"/>
        <v>36550.034</v>
      </c>
      <c r="S144" s="81">
        <v>0</v>
      </c>
      <c r="T144" s="52">
        <f t="shared" si="29"/>
        <v>17</v>
      </c>
      <c r="U144" s="236">
        <f t="shared" si="30"/>
        <v>36550.034</v>
      </c>
      <c r="V144" s="114">
        <f t="shared" si="27"/>
        <v>0</v>
      </c>
      <c r="W144" s="122"/>
      <c r="X144" s="123"/>
    </row>
    <row r="145" spans="1:27" s="89" customFormat="1" ht="24" customHeight="1" x14ac:dyDescent="0.3">
      <c r="A145" s="121" t="s">
        <v>382</v>
      </c>
      <c r="B145" s="81"/>
      <c r="C145" s="81"/>
      <c r="D145" s="81"/>
      <c r="E145" s="59"/>
      <c r="F145" s="98"/>
      <c r="G145" s="83"/>
      <c r="H145" s="96"/>
      <c r="I145" s="231">
        <v>22</v>
      </c>
      <c r="J145" s="81"/>
      <c r="K145" s="81"/>
      <c r="L145" s="81"/>
      <c r="M145" s="81"/>
      <c r="N145" s="81"/>
      <c r="O145" s="81"/>
      <c r="P145" s="41">
        <f t="shared" si="28"/>
        <v>22</v>
      </c>
      <c r="Q145" s="20">
        <f>11206.9*1.16</f>
        <v>13000.003999999999</v>
      </c>
      <c r="R145" s="20">
        <f t="shared" si="26"/>
        <v>286000.08799999999</v>
      </c>
      <c r="S145" s="81">
        <v>0</v>
      </c>
      <c r="T145" s="52">
        <f t="shared" si="29"/>
        <v>22</v>
      </c>
      <c r="U145" s="236">
        <f t="shared" si="30"/>
        <v>286000.08799999999</v>
      </c>
      <c r="V145" s="114">
        <f t="shared" si="27"/>
        <v>0</v>
      </c>
      <c r="W145" s="122"/>
      <c r="X145" s="123"/>
    </row>
    <row r="146" spans="1:27" s="89" customFormat="1" ht="18.75" customHeight="1" x14ac:dyDescent="0.3">
      <c r="A146" s="121" t="s">
        <v>383</v>
      </c>
      <c r="B146" s="81"/>
      <c r="C146" s="81"/>
      <c r="D146" s="81">
        <v>0</v>
      </c>
      <c r="E146" s="59">
        <v>10</v>
      </c>
      <c r="F146" s="97">
        <f>3017.24*1.16</f>
        <v>3499.9983999999995</v>
      </c>
      <c r="G146" s="83">
        <f t="shared" si="31"/>
        <v>34999.983999999997</v>
      </c>
      <c r="H146" s="96"/>
      <c r="I146" s="231">
        <v>22</v>
      </c>
      <c r="J146" s="81"/>
      <c r="K146" s="81"/>
      <c r="L146" s="81"/>
      <c r="M146" s="81"/>
      <c r="N146" s="81"/>
      <c r="O146" s="81"/>
      <c r="P146" s="41">
        <f t="shared" si="28"/>
        <v>22</v>
      </c>
      <c r="Q146" s="97">
        <f>3017.24*1.16</f>
        <v>3499.9983999999995</v>
      </c>
      <c r="R146" s="20">
        <f t="shared" si="26"/>
        <v>76999.964799999987</v>
      </c>
      <c r="S146" s="81">
        <v>0</v>
      </c>
      <c r="T146" s="52">
        <f t="shared" si="29"/>
        <v>32</v>
      </c>
      <c r="U146" s="236">
        <f t="shared" si="30"/>
        <v>111999.94879999998</v>
      </c>
      <c r="V146" s="114">
        <f t="shared" si="27"/>
        <v>0</v>
      </c>
      <c r="W146" s="122"/>
      <c r="X146" s="123"/>
    </row>
    <row r="147" spans="1:27" s="89" customFormat="1" ht="18.75" customHeight="1" x14ac:dyDescent="0.3">
      <c r="A147" s="121" t="s">
        <v>384</v>
      </c>
      <c r="B147" s="81"/>
      <c r="C147" s="81"/>
      <c r="D147" s="81">
        <v>0</v>
      </c>
      <c r="E147" s="59">
        <v>10</v>
      </c>
      <c r="F147" s="97">
        <f>3491.38*1.16</f>
        <v>4050.0007999999998</v>
      </c>
      <c r="G147" s="83">
        <f t="shared" si="31"/>
        <v>40500.008000000002</v>
      </c>
      <c r="H147" s="96"/>
      <c r="I147" s="231">
        <v>35</v>
      </c>
      <c r="J147" s="81"/>
      <c r="K147" s="81"/>
      <c r="L147" s="81"/>
      <c r="M147" s="81"/>
      <c r="N147" s="81"/>
      <c r="O147" s="81"/>
      <c r="P147" s="41">
        <f t="shared" si="28"/>
        <v>35</v>
      </c>
      <c r="Q147" s="97">
        <f>3491.38*1.16</f>
        <v>4050.0007999999998</v>
      </c>
      <c r="R147" s="20">
        <f t="shared" si="26"/>
        <v>141750.02799999999</v>
      </c>
      <c r="S147" s="81">
        <v>0</v>
      </c>
      <c r="T147" s="52">
        <f t="shared" si="29"/>
        <v>45</v>
      </c>
      <c r="U147" s="236">
        <f t="shared" si="30"/>
        <v>182250.03599999999</v>
      </c>
      <c r="V147" s="114">
        <f t="shared" si="27"/>
        <v>0</v>
      </c>
      <c r="W147" s="122"/>
      <c r="X147" s="123"/>
    </row>
    <row r="148" spans="1:27" s="89" customFormat="1" ht="18.75" customHeight="1" x14ac:dyDescent="0.3">
      <c r="A148" s="121" t="s">
        <v>301</v>
      </c>
      <c r="B148" s="81"/>
      <c r="C148" s="81"/>
      <c r="D148" s="81"/>
      <c r="E148" s="59"/>
      <c r="F148" s="97"/>
      <c r="G148" s="83">
        <f t="shared" si="31"/>
        <v>0</v>
      </c>
      <c r="H148" s="96"/>
      <c r="I148" s="231">
        <v>20</v>
      </c>
      <c r="J148" s="81"/>
      <c r="K148" s="81">
        <v>7</v>
      </c>
      <c r="L148" s="81"/>
      <c r="M148" s="81"/>
      <c r="N148" s="81"/>
      <c r="O148" s="81"/>
      <c r="P148" s="41">
        <f t="shared" si="28"/>
        <v>27</v>
      </c>
      <c r="Q148" s="97">
        <f>25000*1.16</f>
        <v>28999.999999999996</v>
      </c>
      <c r="R148" s="20">
        <f>+Q148*P148</f>
        <v>782999.99999999988</v>
      </c>
      <c r="S148" s="81">
        <v>29</v>
      </c>
      <c r="T148" s="52">
        <f t="shared" si="29"/>
        <v>27</v>
      </c>
      <c r="U148" s="236">
        <f t="shared" si="30"/>
        <v>782999.99999999988</v>
      </c>
      <c r="V148" s="114">
        <f t="shared" si="27"/>
        <v>0</v>
      </c>
      <c r="W148" s="122"/>
      <c r="X148" s="123"/>
    </row>
    <row r="149" spans="1:27" s="89" customFormat="1" ht="18.75" customHeight="1" x14ac:dyDescent="0.3">
      <c r="A149" s="121" t="s">
        <v>385</v>
      </c>
      <c r="B149" s="81"/>
      <c r="C149" s="81"/>
      <c r="D149" s="81">
        <v>12</v>
      </c>
      <c r="E149" s="59">
        <v>10</v>
      </c>
      <c r="F149" s="97">
        <f>732.76*1.16</f>
        <v>850.00159999999994</v>
      </c>
      <c r="G149" s="83">
        <f>+E149*F149</f>
        <v>8500.0159999999996</v>
      </c>
      <c r="H149" s="96"/>
      <c r="I149" s="231"/>
      <c r="J149" s="81"/>
      <c r="K149" s="81"/>
      <c r="L149" s="81"/>
      <c r="M149" s="81"/>
      <c r="N149" s="81"/>
      <c r="O149" s="81"/>
      <c r="P149" s="81"/>
      <c r="Q149" s="20"/>
      <c r="R149" s="20">
        <f>+Q149*P149</f>
        <v>0</v>
      </c>
      <c r="S149" s="81"/>
      <c r="T149" s="52">
        <f t="shared" si="29"/>
        <v>10</v>
      </c>
      <c r="U149" s="236">
        <f>+T149*F149</f>
        <v>8500.0159999999996</v>
      </c>
      <c r="V149" s="114">
        <f t="shared" si="27"/>
        <v>0</v>
      </c>
      <c r="W149" s="122"/>
      <c r="X149" s="123"/>
    </row>
    <row r="150" spans="1:27" s="89" customFormat="1" ht="18.75" customHeight="1" x14ac:dyDescent="0.3">
      <c r="A150" s="121" t="s">
        <v>169</v>
      </c>
      <c r="B150" s="81"/>
      <c r="C150" s="81"/>
      <c r="D150" s="81">
        <v>33</v>
      </c>
      <c r="E150" s="59">
        <v>10</v>
      </c>
      <c r="F150" s="97">
        <f>431.03*1.16</f>
        <v>499.99479999999994</v>
      </c>
      <c r="G150" s="83">
        <f>+E150*F150</f>
        <v>4999.9479999999994</v>
      </c>
      <c r="H150" s="96"/>
      <c r="I150" s="231"/>
      <c r="J150" s="81"/>
      <c r="K150" s="81"/>
      <c r="L150" s="81"/>
      <c r="M150" s="81"/>
      <c r="N150" s="81"/>
      <c r="O150" s="81"/>
      <c r="P150" s="81"/>
      <c r="Q150" s="20"/>
      <c r="R150" s="20">
        <f>+Q150*P150</f>
        <v>0</v>
      </c>
      <c r="S150" s="81"/>
      <c r="T150" s="52">
        <f t="shared" si="29"/>
        <v>10</v>
      </c>
      <c r="U150" s="236">
        <f>+T150*F150</f>
        <v>4999.9479999999994</v>
      </c>
      <c r="V150" s="114">
        <f t="shared" si="27"/>
        <v>0</v>
      </c>
      <c r="W150" s="122"/>
      <c r="X150" s="123"/>
    </row>
    <row r="151" spans="1:27" s="89" customFormat="1" ht="18.75" customHeight="1" x14ac:dyDescent="0.3">
      <c r="A151" s="121" t="s">
        <v>265</v>
      </c>
      <c r="B151" s="81"/>
      <c r="C151" s="81"/>
      <c r="D151" s="81"/>
      <c r="E151" s="59"/>
      <c r="F151" s="98"/>
      <c r="G151" s="83">
        <f t="shared" ref="G151:G157" si="32">+E151*F151</f>
        <v>0</v>
      </c>
      <c r="H151" s="96"/>
      <c r="I151" s="231"/>
      <c r="J151" s="81"/>
      <c r="K151" s="81">
        <v>59</v>
      </c>
      <c r="L151" s="81"/>
      <c r="M151" s="81"/>
      <c r="N151" s="81"/>
      <c r="O151" s="81"/>
      <c r="P151" s="41">
        <f>SUBTOTAL(9,I151:O151)</f>
        <v>59</v>
      </c>
      <c r="Q151" s="20">
        <f>4989.66*1.16</f>
        <v>5788.0055999999995</v>
      </c>
      <c r="R151" s="20">
        <f>+Q151*P151</f>
        <v>341492.33039999998</v>
      </c>
      <c r="S151" s="81">
        <v>37</v>
      </c>
      <c r="T151" s="52">
        <f t="shared" si="29"/>
        <v>59</v>
      </c>
      <c r="U151" s="236">
        <f t="shared" si="30"/>
        <v>341492.33039999998</v>
      </c>
      <c r="V151" s="114">
        <f t="shared" si="27"/>
        <v>0</v>
      </c>
      <c r="W151" s="122"/>
      <c r="X151" s="123"/>
    </row>
    <row r="152" spans="1:27" s="89" customFormat="1" ht="18.75" customHeight="1" x14ac:dyDescent="0.3">
      <c r="A152" s="90" t="s">
        <v>164</v>
      </c>
      <c r="B152" s="81"/>
      <c r="C152" s="81"/>
      <c r="D152" s="81">
        <v>120</v>
      </c>
      <c r="E152" s="59">
        <v>200</v>
      </c>
      <c r="F152" s="97">
        <f>258.62*1.16</f>
        <v>299.99919999999997</v>
      </c>
      <c r="G152" s="83">
        <f t="shared" si="32"/>
        <v>59999.839999999997</v>
      </c>
      <c r="H152" s="96"/>
      <c r="I152" s="231"/>
      <c r="J152" s="81"/>
      <c r="K152" s="81"/>
      <c r="L152" s="81"/>
      <c r="M152" s="81"/>
      <c r="N152" s="81"/>
      <c r="O152" s="81"/>
      <c r="P152" s="81"/>
      <c r="Q152" s="20"/>
      <c r="R152" s="20"/>
      <c r="S152" s="81"/>
      <c r="T152" s="52">
        <f t="shared" si="29"/>
        <v>200</v>
      </c>
      <c r="U152" s="236">
        <f>+T152*F152</f>
        <v>59999.839999999997</v>
      </c>
      <c r="V152" s="114">
        <f t="shared" si="27"/>
        <v>0</v>
      </c>
      <c r="W152" s="122"/>
      <c r="X152" s="123"/>
    </row>
    <row r="153" spans="1:27" s="89" customFormat="1" ht="18.75" customHeight="1" x14ac:dyDescent="0.3">
      <c r="A153" s="90" t="s">
        <v>51</v>
      </c>
      <c r="B153" s="81"/>
      <c r="C153" s="81"/>
      <c r="D153" s="81">
        <v>313</v>
      </c>
      <c r="E153" s="59">
        <v>150</v>
      </c>
      <c r="F153" s="97">
        <f>1551.72*1.16</f>
        <v>1799.9951999999998</v>
      </c>
      <c r="G153" s="83">
        <f t="shared" si="32"/>
        <v>269999.27999999997</v>
      </c>
      <c r="H153" s="96"/>
      <c r="I153" s="231"/>
      <c r="J153" s="81"/>
      <c r="K153" s="81"/>
      <c r="L153" s="81"/>
      <c r="M153" s="81"/>
      <c r="N153" s="81"/>
      <c r="O153" s="81"/>
      <c r="P153" s="81"/>
      <c r="Q153" s="20"/>
      <c r="R153" s="20"/>
      <c r="S153" s="81"/>
      <c r="T153" s="52">
        <f t="shared" si="29"/>
        <v>150</v>
      </c>
      <c r="U153" s="236">
        <f>+T153*F153</f>
        <v>269999.27999999997</v>
      </c>
      <c r="V153" s="114">
        <f t="shared" si="27"/>
        <v>0</v>
      </c>
      <c r="W153" s="122"/>
      <c r="X153" s="123"/>
    </row>
    <row r="154" spans="1:27" s="89" customFormat="1" ht="18.75" customHeight="1" x14ac:dyDescent="0.3">
      <c r="A154" s="90" t="s">
        <v>165</v>
      </c>
      <c r="B154" s="81"/>
      <c r="C154" s="81"/>
      <c r="D154" s="81">
        <v>122</v>
      </c>
      <c r="E154" s="59">
        <v>50</v>
      </c>
      <c r="F154" s="97">
        <f>4002.59*1.16</f>
        <v>4643.0043999999998</v>
      </c>
      <c r="G154" s="83">
        <f t="shared" si="32"/>
        <v>232150.22</v>
      </c>
      <c r="H154" s="96"/>
      <c r="I154" s="231"/>
      <c r="J154" s="81"/>
      <c r="K154" s="81"/>
      <c r="L154" s="81"/>
      <c r="M154" s="81"/>
      <c r="N154" s="81"/>
      <c r="O154" s="81"/>
      <c r="P154" s="81"/>
      <c r="Q154" s="20"/>
      <c r="R154" s="20"/>
      <c r="S154" s="81"/>
      <c r="T154" s="52">
        <f t="shared" si="29"/>
        <v>50</v>
      </c>
      <c r="U154" s="236">
        <f>+T154*F154</f>
        <v>232150.22</v>
      </c>
      <c r="V154" s="114">
        <f t="shared" si="27"/>
        <v>0</v>
      </c>
      <c r="W154" s="122"/>
      <c r="X154" s="123"/>
      <c r="Z154" s="123"/>
    </row>
    <row r="155" spans="1:27" s="89" customFormat="1" ht="24" customHeight="1" x14ac:dyDescent="0.3">
      <c r="A155" s="121" t="s">
        <v>203</v>
      </c>
      <c r="B155" s="81"/>
      <c r="C155" s="81"/>
      <c r="D155" s="81">
        <v>63</v>
      </c>
      <c r="E155" s="59">
        <v>100</v>
      </c>
      <c r="F155" s="97">
        <f>4331.03*1.16</f>
        <v>5023.9947999999995</v>
      </c>
      <c r="G155" s="83">
        <f t="shared" si="32"/>
        <v>502399.47999999992</v>
      </c>
      <c r="H155" s="96"/>
      <c r="I155" s="231">
        <v>400</v>
      </c>
      <c r="J155" s="81"/>
      <c r="K155" s="81"/>
      <c r="L155" s="81"/>
      <c r="M155" s="81"/>
      <c r="N155" s="81"/>
      <c r="O155" s="81"/>
      <c r="P155" s="41">
        <f>SUBTOTAL(9,I155:O155)</f>
        <v>400</v>
      </c>
      <c r="Q155" s="97">
        <f>4331.03*1.16</f>
        <v>5023.9947999999995</v>
      </c>
      <c r="R155" s="20">
        <f>+Q155*P155</f>
        <v>2009597.9199999997</v>
      </c>
      <c r="S155" s="81">
        <v>63</v>
      </c>
      <c r="T155" s="52">
        <f t="shared" si="29"/>
        <v>500</v>
      </c>
      <c r="U155" s="236">
        <f t="shared" si="30"/>
        <v>2511997.3999999994</v>
      </c>
      <c r="V155" s="114">
        <f t="shared" si="27"/>
        <v>0</v>
      </c>
      <c r="W155" s="122"/>
      <c r="X155" s="123"/>
      <c r="Y155" s="124"/>
      <c r="Z155" s="123"/>
      <c r="AA155" s="123"/>
    </row>
    <row r="156" spans="1:27" s="89" customFormat="1" ht="18.75" customHeight="1" x14ac:dyDescent="0.3">
      <c r="A156" s="121" t="s">
        <v>386</v>
      </c>
      <c r="B156" s="81"/>
      <c r="C156" s="81"/>
      <c r="D156" s="81">
        <v>248</v>
      </c>
      <c r="E156" s="59"/>
      <c r="F156" s="97"/>
      <c r="G156" s="83">
        <f t="shared" si="32"/>
        <v>0</v>
      </c>
      <c r="H156" s="96"/>
      <c r="I156" s="231"/>
      <c r="J156" s="81"/>
      <c r="K156" s="81">
        <v>1050</v>
      </c>
      <c r="L156" s="81"/>
      <c r="M156" s="81"/>
      <c r="N156" s="81"/>
      <c r="O156" s="81"/>
      <c r="P156" s="41">
        <f>SUBTOTAL(9,I156:O156)</f>
        <v>1050</v>
      </c>
      <c r="Q156" s="20">
        <f>903.45*1.16</f>
        <v>1048.002</v>
      </c>
      <c r="R156" s="20">
        <f t="shared" ref="R156:R169" si="33">+Q156*P156</f>
        <v>1100402.0999999999</v>
      </c>
      <c r="S156" s="81">
        <v>248</v>
      </c>
      <c r="T156" s="52">
        <f t="shared" si="29"/>
        <v>1050</v>
      </c>
      <c r="U156" s="236">
        <f t="shared" si="30"/>
        <v>1100402.0999999999</v>
      </c>
      <c r="V156" s="114">
        <f t="shared" si="27"/>
        <v>0</v>
      </c>
      <c r="W156" s="122"/>
      <c r="X156" s="123"/>
      <c r="Y156" s="125"/>
    </row>
    <row r="157" spans="1:27" s="89" customFormat="1" ht="18.75" customHeight="1" x14ac:dyDescent="0.3">
      <c r="A157" s="90" t="s">
        <v>387</v>
      </c>
      <c r="B157" s="81"/>
      <c r="C157" s="81"/>
      <c r="D157" s="81">
        <v>145</v>
      </c>
      <c r="E157" s="59">
        <v>50</v>
      </c>
      <c r="F157" s="97">
        <f>3418.1*1.16</f>
        <v>3964.9959999999996</v>
      </c>
      <c r="G157" s="83">
        <f t="shared" si="32"/>
        <v>198249.8</v>
      </c>
      <c r="H157" s="96"/>
      <c r="I157" s="231"/>
      <c r="J157" s="81"/>
      <c r="K157" s="81">
        <v>50</v>
      </c>
      <c r="L157" s="81"/>
      <c r="M157" s="81"/>
      <c r="N157" s="81"/>
      <c r="O157" s="81"/>
      <c r="P157" s="41">
        <f>SUBTOTAL(9,I157:O157)</f>
        <v>50</v>
      </c>
      <c r="Q157" s="97">
        <f>3418.1*1.16</f>
        <v>3964.9959999999996</v>
      </c>
      <c r="R157" s="20">
        <f t="shared" si="33"/>
        <v>198249.8</v>
      </c>
      <c r="S157" s="81">
        <v>67</v>
      </c>
      <c r="T157" s="52">
        <f t="shared" si="29"/>
        <v>100</v>
      </c>
      <c r="U157" s="236">
        <f t="shared" si="30"/>
        <v>396499.6</v>
      </c>
      <c r="V157" s="114">
        <f t="shared" si="27"/>
        <v>0</v>
      </c>
      <c r="W157" s="122"/>
      <c r="X157" s="123"/>
    </row>
    <row r="158" spans="1:27" s="89" customFormat="1" ht="18.75" customHeight="1" x14ac:dyDescent="0.3">
      <c r="A158" s="90" t="s">
        <v>52</v>
      </c>
      <c r="B158" s="81"/>
      <c r="C158" s="81"/>
      <c r="D158" s="81">
        <v>25</v>
      </c>
      <c r="E158" s="59">
        <v>70</v>
      </c>
      <c r="F158" s="97">
        <f>1846.55*1.16</f>
        <v>2141.9979999999996</v>
      </c>
      <c r="G158" s="83">
        <f>E158*F158</f>
        <v>149939.85999999999</v>
      </c>
      <c r="H158" s="96"/>
      <c r="I158" s="231"/>
      <c r="J158" s="81"/>
      <c r="K158" s="81"/>
      <c r="L158" s="81"/>
      <c r="M158" s="81"/>
      <c r="N158" s="81"/>
      <c r="O158" s="81"/>
      <c r="P158" s="81"/>
      <c r="Q158" s="20"/>
      <c r="R158" s="20">
        <f t="shared" si="33"/>
        <v>0</v>
      </c>
      <c r="S158" s="81"/>
      <c r="T158" s="52">
        <f t="shared" si="29"/>
        <v>70</v>
      </c>
      <c r="U158" s="236">
        <f>+T158*F158</f>
        <v>149939.85999999999</v>
      </c>
      <c r="V158" s="114">
        <f t="shared" si="27"/>
        <v>0</v>
      </c>
      <c r="W158" s="122"/>
      <c r="X158" s="123"/>
    </row>
    <row r="159" spans="1:27" s="89" customFormat="1" ht="18.75" customHeight="1" x14ac:dyDescent="0.3">
      <c r="A159" s="90" t="s">
        <v>53</v>
      </c>
      <c r="B159" s="81"/>
      <c r="C159" s="81"/>
      <c r="D159" s="81">
        <v>0</v>
      </c>
      <c r="E159" s="59">
        <v>70</v>
      </c>
      <c r="F159" s="97">
        <f>1846.55*1.16</f>
        <v>2141.9979999999996</v>
      </c>
      <c r="G159" s="83">
        <f>E159*F159</f>
        <v>149939.85999999999</v>
      </c>
      <c r="H159" s="96"/>
      <c r="I159" s="231"/>
      <c r="J159" s="81"/>
      <c r="K159" s="81"/>
      <c r="L159" s="81"/>
      <c r="M159" s="81"/>
      <c r="N159" s="81"/>
      <c r="O159" s="81"/>
      <c r="P159" s="81"/>
      <c r="Q159" s="20"/>
      <c r="R159" s="20">
        <f t="shared" si="33"/>
        <v>0</v>
      </c>
      <c r="S159" s="81"/>
      <c r="T159" s="52">
        <f t="shared" si="29"/>
        <v>70</v>
      </c>
      <c r="U159" s="236">
        <f>+T159*F159</f>
        <v>149939.85999999999</v>
      </c>
      <c r="V159" s="114">
        <f t="shared" si="27"/>
        <v>0</v>
      </c>
      <c r="W159" s="122"/>
      <c r="X159" s="123"/>
    </row>
    <row r="160" spans="1:27" s="89" customFormat="1" ht="18.75" customHeight="1" x14ac:dyDescent="0.3">
      <c r="A160" s="90" t="s">
        <v>54</v>
      </c>
      <c r="B160" s="81"/>
      <c r="C160" s="81"/>
      <c r="D160" s="81">
        <v>26</v>
      </c>
      <c r="E160" s="59">
        <v>70</v>
      </c>
      <c r="F160" s="97">
        <f>5738.79*1.16</f>
        <v>6656.9963999999991</v>
      </c>
      <c r="G160" s="83">
        <f>E160*F160</f>
        <v>465989.74799999996</v>
      </c>
      <c r="H160" s="96"/>
      <c r="I160" s="231"/>
      <c r="J160" s="81"/>
      <c r="K160" s="81"/>
      <c r="L160" s="81"/>
      <c r="M160" s="81"/>
      <c r="N160" s="81"/>
      <c r="O160" s="81"/>
      <c r="P160" s="81"/>
      <c r="Q160" s="20"/>
      <c r="R160" s="20">
        <f t="shared" si="33"/>
        <v>0</v>
      </c>
      <c r="S160" s="81"/>
      <c r="T160" s="52">
        <f t="shared" si="29"/>
        <v>70</v>
      </c>
      <c r="U160" s="236">
        <f>+T160*F160</f>
        <v>465989.74799999996</v>
      </c>
      <c r="V160" s="114">
        <f t="shared" si="27"/>
        <v>0</v>
      </c>
      <c r="W160" s="122"/>
      <c r="X160" s="123"/>
    </row>
    <row r="161" spans="1:24" s="89" customFormat="1" ht="18.75" customHeight="1" x14ac:dyDescent="0.3">
      <c r="A161" s="90" t="s">
        <v>55</v>
      </c>
      <c r="B161" s="81"/>
      <c r="C161" s="81"/>
      <c r="D161" s="81">
        <v>20</v>
      </c>
      <c r="E161" s="59">
        <v>70</v>
      </c>
      <c r="F161" s="97">
        <f>1197.41*1.16</f>
        <v>1388.9956</v>
      </c>
      <c r="G161" s="83">
        <f>E161*F161</f>
        <v>97229.691999999995</v>
      </c>
      <c r="H161" s="96"/>
      <c r="I161" s="231"/>
      <c r="J161" s="81"/>
      <c r="K161" s="81"/>
      <c r="L161" s="81"/>
      <c r="M161" s="81"/>
      <c r="N161" s="81"/>
      <c r="O161" s="81"/>
      <c r="P161" s="81"/>
      <c r="Q161" s="20"/>
      <c r="R161" s="20">
        <f t="shared" si="33"/>
        <v>0</v>
      </c>
      <c r="S161" s="81"/>
      <c r="T161" s="52">
        <f t="shared" si="29"/>
        <v>70</v>
      </c>
      <c r="U161" s="236">
        <f>+T161*F161</f>
        <v>97229.691999999995</v>
      </c>
      <c r="V161" s="114">
        <f t="shared" si="27"/>
        <v>0</v>
      </c>
      <c r="W161" s="122"/>
      <c r="X161" s="123"/>
    </row>
    <row r="162" spans="1:24" s="89" customFormat="1" ht="24" customHeight="1" x14ac:dyDescent="0.3">
      <c r="A162" s="121" t="s">
        <v>389</v>
      </c>
      <c r="B162" s="81"/>
      <c r="C162" s="81"/>
      <c r="D162" s="81">
        <v>348</v>
      </c>
      <c r="E162" s="59"/>
      <c r="F162" s="97"/>
      <c r="G162" s="83">
        <f>E162*F162</f>
        <v>0</v>
      </c>
      <c r="H162" s="96"/>
      <c r="I162" s="231"/>
      <c r="J162" s="81"/>
      <c r="K162" s="81">
        <v>212</v>
      </c>
      <c r="L162" s="81"/>
      <c r="M162" s="81"/>
      <c r="N162" s="81"/>
      <c r="O162" s="81"/>
      <c r="P162" s="41">
        <f>SUBTOTAL(9,I162:O162)</f>
        <v>212</v>
      </c>
      <c r="Q162" s="20">
        <f>748.28*1.16</f>
        <v>868.00479999999993</v>
      </c>
      <c r="R162" s="20">
        <f t="shared" si="33"/>
        <v>184017.01759999999</v>
      </c>
      <c r="S162" s="81">
        <v>348</v>
      </c>
      <c r="T162" s="52">
        <f t="shared" si="29"/>
        <v>212</v>
      </c>
      <c r="U162" s="236">
        <f t="shared" si="30"/>
        <v>184017.01759999999</v>
      </c>
      <c r="V162" s="114">
        <f t="shared" si="27"/>
        <v>0</v>
      </c>
      <c r="W162" s="122"/>
      <c r="X162" s="123"/>
    </row>
    <row r="163" spans="1:24" s="89" customFormat="1" ht="18.75" customHeight="1" x14ac:dyDescent="0.3">
      <c r="A163" s="121" t="s">
        <v>161</v>
      </c>
      <c r="B163" s="81"/>
      <c r="C163" s="81"/>
      <c r="D163" s="81">
        <v>0</v>
      </c>
      <c r="E163" s="59">
        <v>50</v>
      </c>
      <c r="F163" s="97">
        <f>933.62*1.16</f>
        <v>1082.9992</v>
      </c>
      <c r="G163" s="83">
        <f t="shared" ref="G163:G171" si="34">F163*E163</f>
        <v>54149.96</v>
      </c>
      <c r="H163" s="96"/>
      <c r="I163" s="231"/>
      <c r="J163" s="81"/>
      <c r="K163" s="81"/>
      <c r="L163" s="81"/>
      <c r="M163" s="81"/>
      <c r="N163" s="81"/>
      <c r="O163" s="81"/>
      <c r="P163" s="81"/>
      <c r="Q163" s="20"/>
      <c r="R163" s="20">
        <f t="shared" si="33"/>
        <v>0</v>
      </c>
      <c r="S163" s="81"/>
      <c r="T163" s="52">
        <f t="shared" si="29"/>
        <v>50</v>
      </c>
      <c r="U163" s="236">
        <f>+T163*F163</f>
        <v>54149.96</v>
      </c>
      <c r="V163" s="114">
        <f t="shared" si="27"/>
        <v>0</v>
      </c>
      <c r="W163" s="122"/>
      <c r="X163" s="123"/>
    </row>
    <row r="164" spans="1:24" s="89" customFormat="1" ht="18.75" customHeight="1" x14ac:dyDescent="0.3">
      <c r="A164" s="121" t="s">
        <v>252</v>
      </c>
      <c r="B164" s="81"/>
      <c r="C164" s="81"/>
      <c r="D164" s="81"/>
      <c r="E164" s="59"/>
      <c r="F164" s="97"/>
      <c r="G164" s="83"/>
      <c r="H164" s="96"/>
      <c r="I164" s="231"/>
      <c r="J164" s="81"/>
      <c r="K164" s="81">
        <v>25</v>
      </c>
      <c r="L164" s="81"/>
      <c r="M164" s="81"/>
      <c r="N164" s="81"/>
      <c r="O164" s="81"/>
      <c r="P164" s="41">
        <f>SUBTOTAL(9,I164:O164)</f>
        <v>25</v>
      </c>
      <c r="Q164" s="20">
        <f>12931.03*1.16</f>
        <v>14999.9948</v>
      </c>
      <c r="R164" s="20">
        <f t="shared" si="33"/>
        <v>374999.87</v>
      </c>
      <c r="S164" s="81">
        <v>50</v>
      </c>
      <c r="T164" s="52">
        <f t="shared" si="29"/>
        <v>25</v>
      </c>
      <c r="U164" s="236">
        <f t="shared" si="30"/>
        <v>374999.87</v>
      </c>
      <c r="V164" s="114">
        <f t="shared" si="27"/>
        <v>0</v>
      </c>
      <c r="W164" s="122"/>
      <c r="X164" s="123"/>
    </row>
    <row r="165" spans="1:24" s="89" customFormat="1" ht="18.75" customHeight="1" x14ac:dyDescent="0.3">
      <c r="A165" s="121" t="s">
        <v>388</v>
      </c>
      <c r="B165" s="81"/>
      <c r="C165" s="81"/>
      <c r="D165" s="81"/>
      <c r="E165" s="59"/>
      <c r="F165" s="97"/>
      <c r="G165" s="83"/>
      <c r="H165" s="96"/>
      <c r="I165" s="231"/>
      <c r="J165" s="81"/>
      <c r="K165" s="81">
        <v>5</v>
      </c>
      <c r="L165" s="81"/>
      <c r="M165" s="81"/>
      <c r="N165" s="81"/>
      <c r="O165" s="81"/>
      <c r="P165" s="41">
        <f>SUBTOTAL(9,I165:O165)</f>
        <v>5</v>
      </c>
      <c r="Q165" s="20">
        <f>185344.83*1.16</f>
        <v>215000.00279999996</v>
      </c>
      <c r="R165" s="20">
        <f t="shared" si="33"/>
        <v>1075000.0139999997</v>
      </c>
      <c r="S165" s="81">
        <v>50</v>
      </c>
      <c r="T165" s="52">
        <f t="shared" si="29"/>
        <v>5</v>
      </c>
      <c r="U165" s="236">
        <f t="shared" si="30"/>
        <v>1075000.0139999997</v>
      </c>
      <c r="V165" s="114">
        <f t="shared" si="27"/>
        <v>0</v>
      </c>
      <c r="W165" s="122"/>
      <c r="X165" s="123"/>
    </row>
    <row r="166" spans="1:24" s="89" customFormat="1" ht="18.75" customHeight="1" x14ac:dyDescent="0.3">
      <c r="A166" s="121" t="s">
        <v>166</v>
      </c>
      <c r="B166" s="81"/>
      <c r="C166" s="81"/>
      <c r="D166" s="81">
        <v>529</v>
      </c>
      <c r="E166" s="59">
        <v>1000</v>
      </c>
      <c r="F166" s="97">
        <f>624.14*1.16</f>
        <v>724.00239999999997</v>
      </c>
      <c r="G166" s="83">
        <f t="shared" si="34"/>
        <v>724002.4</v>
      </c>
      <c r="H166" s="96"/>
      <c r="I166" s="231"/>
      <c r="J166" s="81"/>
      <c r="K166" s="81"/>
      <c r="L166" s="81"/>
      <c r="M166" s="81"/>
      <c r="N166" s="81"/>
      <c r="O166" s="81"/>
      <c r="P166" s="81"/>
      <c r="Q166" s="20"/>
      <c r="R166" s="20">
        <f t="shared" si="33"/>
        <v>0</v>
      </c>
      <c r="S166" s="81"/>
      <c r="T166" s="52">
        <f t="shared" si="29"/>
        <v>1000</v>
      </c>
      <c r="U166" s="236">
        <f>+T166*F166</f>
        <v>724002.4</v>
      </c>
      <c r="V166" s="114">
        <f t="shared" si="27"/>
        <v>0</v>
      </c>
      <c r="W166" s="122"/>
      <c r="X166" s="123"/>
    </row>
    <row r="167" spans="1:24" s="89" customFormat="1" ht="18.75" customHeight="1" x14ac:dyDescent="0.3">
      <c r="A167" s="121" t="s">
        <v>56</v>
      </c>
      <c r="B167" s="81"/>
      <c r="C167" s="81"/>
      <c r="D167" s="81">
        <v>856</v>
      </c>
      <c r="E167" s="59">
        <v>500</v>
      </c>
      <c r="F167" s="97">
        <f>387.93*1.16</f>
        <v>449.99879999999996</v>
      </c>
      <c r="G167" s="83">
        <f t="shared" si="34"/>
        <v>224999.4</v>
      </c>
      <c r="H167" s="96"/>
      <c r="I167" s="231"/>
      <c r="J167" s="81"/>
      <c r="K167" s="81">
        <v>694</v>
      </c>
      <c r="L167" s="81"/>
      <c r="M167" s="81"/>
      <c r="N167" s="81"/>
      <c r="O167" s="81"/>
      <c r="P167" s="41">
        <f>SUBTOTAL(9,I167:O167)</f>
        <v>694</v>
      </c>
      <c r="Q167" s="97">
        <f>387.93*1.16</f>
        <v>449.99879999999996</v>
      </c>
      <c r="R167" s="20">
        <f t="shared" si="33"/>
        <v>312299.16719999997</v>
      </c>
      <c r="S167" s="81">
        <v>50</v>
      </c>
      <c r="T167" s="52">
        <f t="shared" si="29"/>
        <v>1194</v>
      </c>
      <c r="U167" s="236">
        <f t="shared" si="30"/>
        <v>537298.56719999993</v>
      </c>
      <c r="V167" s="114">
        <f t="shared" si="27"/>
        <v>0</v>
      </c>
      <c r="W167" s="122"/>
      <c r="X167" s="123"/>
    </row>
    <row r="168" spans="1:24" s="89" customFormat="1" ht="18.75" customHeight="1" x14ac:dyDescent="0.3">
      <c r="A168" s="121" t="s">
        <v>255</v>
      </c>
      <c r="B168" s="81"/>
      <c r="C168" s="81"/>
      <c r="D168" s="81"/>
      <c r="E168" s="59"/>
      <c r="F168" s="97"/>
      <c r="G168" s="83"/>
      <c r="H168" s="96"/>
      <c r="I168" s="231"/>
      <c r="J168" s="81"/>
      <c r="K168" s="81">
        <v>161</v>
      </c>
      <c r="L168" s="81"/>
      <c r="M168" s="81"/>
      <c r="N168" s="81"/>
      <c r="O168" s="81"/>
      <c r="P168" s="41">
        <f>SUBTOTAL(9,I168:O168)</f>
        <v>161</v>
      </c>
      <c r="Q168" s="97">
        <f>1572.41*1.16</f>
        <v>1823.9956</v>
      </c>
      <c r="R168" s="20">
        <f t="shared" si="33"/>
        <v>293663.2916</v>
      </c>
      <c r="S168" s="81">
        <v>50</v>
      </c>
      <c r="T168" s="52">
        <f t="shared" si="29"/>
        <v>161</v>
      </c>
      <c r="U168" s="236">
        <f t="shared" si="30"/>
        <v>293663.2916</v>
      </c>
      <c r="V168" s="114">
        <f t="shared" si="27"/>
        <v>0</v>
      </c>
      <c r="W168" s="122"/>
      <c r="X168" s="123"/>
    </row>
    <row r="169" spans="1:24" s="89" customFormat="1" ht="18.75" customHeight="1" x14ac:dyDescent="0.3">
      <c r="A169" s="121" t="s">
        <v>271</v>
      </c>
      <c r="B169" s="81"/>
      <c r="C169" s="81"/>
      <c r="D169" s="81"/>
      <c r="E169" s="59"/>
      <c r="F169" s="97"/>
      <c r="G169" s="83"/>
      <c r="H169" s="96"/>
      <c r="I169" s="231"/>
      <c r="J169" s="81"/>
      <c r="K169" s="81">
        <v>10</v>
      </c>
      <c r="L169" s="81"/>
      <c r="M169" s="81"/>
      <c r="N169" s="81"/>
      <c r="O169" s="81"/>
      <c r="P169" s="41">
        <f>SUBTOTAL(9,I169:O169)</f>
        <v>10</v>
      </c>
      <c r="Q169" s="97">
        <f>1372.41*1.16</f>
        <v>1591.9956</v>
      </c>
      <c r="R169" s="20">
        <f t="shared" si="33"/>
        <v>15919.956</v>
      </c>
      <c r="S169" s="81">
        <v>1168</v>
      </c>
      <c r="T169" s="52">
        <f t="shared" si="29"/>
        <v>10</v>
      </c>
      <c r="U169" s="236">
        <f t="shared" si="30"/>
        <v>15919.956</v>
      </c>
      <c r="V169" s="114">
        <f t="shared" si="27"/>
        <v>0</v>
      </c>
      <c r="W169" s="122"/>
      <c r="X169" s="123"/>
    </row>
    <row r="170" spans="1:24" s="89" customFormat="1" ht="18.75" customHeight="1" x14ac:dyDescent="0.3">
      <c r="A170" s="90" t="s">
        <v>253</v>
      </c>
      <c r="B170" s="81"/>
      <c r="C170" s="81"/>
      <c r="D170" s="81"/>
      <c r="E170" s="59"/>
      <c r="F170" s="97"/>
      <c r="G170" s="83"/>
      <c r="H170" s="96"/>
      <c r="I170" s="231"/>
      <c r="J170" s="81"/>
      <c r="K170" s="81">
        <v>163</v>
      </c>
      <c r="L170" s="81"/>
      <c r="M170" s="81"/>
      <c r="N170" s="81"/>
      <c r="O170" s="81"/>
      <c r="P170" s="41">
        <f>SUBTOTAL(9,I170:O170)</f>
        <v>163</v>
      </c>
      <c r="Q170" s="20">
        <f>821.55*1.16</f>
        <v>952.99799999999993</v>
      </c>
      <c r="R170" s="20">
        <f>+Q170*P170</f>
        <v>155338.674</v>
      </c>
      <c r="S170" s="81">
        <v>124</v>
      </c>
      <c r="T170" s="52">
        <f t="shared" si="29"/>
        <v>163</v>
      </c>
      <c r="U170" s="236">
        <f t="shared" si="30"/>
        <v>155338.674</v>
      </c>
      <c r="V170" s="114">
        <f t="shared" si="27"/>
        <v>0</v>
      </c>
      <c r="W170" s="122"/>
      <c r="X170" s="123"/>
    </row>
    <row r="171" spans="1:24" s="89" customFormat="1" ht="18.75" customHeight="1" x14ac:dyDescent="0.3">
      <c r="A171" s="90" t="s">
        <v>57</v>
      </c>
      <c r="B171" s="81"/>
      <c r="C171" s="81"/>
      <c r="D171" s="81">
        <v>51</v>
      </c>
      <c r="E171" s="59">
        <v>550</v>
      </c>
      <c r="F171" s="97">
        <f>984.48*1.16</f>
        <v>1141.9967999999999</v>
      </c>
      <c r="G171" s="83">
        <f t="shared" si="34"/>
        <v>628098.24</v>
      </c>
      <c r="H171" s="96"/>
      <c r="I171" s="231"/>
      <c r="J171" s="81"/>
      <c r="K171" s="81"/>
      <c r="L171" s="81"/>
      <c r="M171" s="81"/>
      <c r="N171" s="81"/>
      <c r="O171" s="81"/>
      <c r="P171" s="81"/>
      <c r="Q171" s="20"/>
      <c r="R171" s="20">
        <f>+Q171*P171</f>
        <v>0</v>
      </c>
      <c r="S171" s="81"/>
      <c r="T171" s="52">
        <f t="shared" si="29"/>
        <v>550</v>
      </c>
      <c r="U171" s="236">
        <f>+T171*F171</f>
        <v>628098.24</v>
      </c>
      <c r="V171" s="114">
        <f t="shared" si="27"/>
        <v>0</v>
      </c>
      <c r="W171" s="122"/>
      <c r="X171" s="123"/>
    </row>
    <row r="172" spans="1:24" s="89" customFormat="1" ht="18.75" customHeight="1" x14ac:dyDescent="0.3">
      <c r="A172" s="90" t="s">
        <v>254</v>
      </c>
      <c r="B172" s="81"/>
      <c r="C172" s="81"/>
      <c r="D172" s="81"/>
      <c r="E172" s="59"/>
      <c r="F172" s="97"/>
      <c r="G172" s="83"/>
      <c r="H172" s="96"/>
      <c r="I172" s="231"/>
      <c r="J172" s="81"/>
      <c r="K172" s="81">
        <v>82</v>
      </c>
      <c r="L172" s="81"/>
      <c r="M172" s="81"/>
      <c r="N172" s="81"/>
      <c r="O172" s="81"/>
      <c r="P172" s="41">
        <f>SUBTOTAL(9,I172:O172)</f>
        <v>82</v>
      </c>
      <c r="Q172" s="20">
        <f>11313.79*1.16</f>
        <v>13123.9964</v>
      </c>
      <c r="R172" s="20">
        <f t="shared" ref="R172:R180" si="35">+Q172*P172</f>
        <v>1076167.7047999999</v>
      </c>
      <c r="S172" s="81">
        <v>96</v>
      </c>
      <c r="T172" s="52">
        <f t="shared" si="29"/>
        <v>82</v>
      </c>
      <c r="U172" s="236">
        <f t="shared" ref="U172:U194" si="36">G172+R172</f>
        <v>1076167.7047999999</v>
      </c>
      <c r="V172" s="114">
        <f t="shared" si="27"/>
        <v>0</v>
      </c>
      <c r="W172" s="122"/>
      <c r="X172" s="123"/>
    </row>
    <row r="173" spans="1:24" s="89" customFormat="1" ht="24" customHeight="1" x14ac:dyDescent="0.3">
      <c r="A173" s="90" t="s">
        <v>58</v>
      </c>
      <c r="B173" s="81"/>
      <c r="C173" s="81"/>
      <c r="D173" s="81">
        <v>1743</v>
      </c>
      <c r="E173" s="59"/>
      <c r="F173" s="97"/>
      <c r="G173" s="83">
        <f>F173*E173</f>
        <v>0</v>
      </c>
      <c r="H173" s="96"/>
      <c r="I173" s="231"/>
      <c r="J173" s="81"/>
      <c r="K173" s="81">
        <v>100</v>
      </c>
      <c r="L173" s="81"/>
      <c r="M173" s="81"/>
      <c r="N173" s="81"/>
      <c r="O173" s="81"/>
      <c r="P173" s="41">
        <f>SUBTOTAL(9,I173:O173)</f>
        <v>100</v>
      </c>
      <c r="Q173" s="97">
        <f>9391.38*1.16</f>
        <v>10894.000799999998</v>
      </c>
      <c r="R173" s="20">
        <f t="shared" si="35"/>
        <v>1089400.0799999998</v>
      </c>
      <c r="S173" s="81">
        <v>1743</v>
      </c>
      <c r="T173" s="52">
        <f t="shared" si="29"/>
        <v>100</v>
      </c>
      <c r="U173" s="236">
        <f t="shared" si="36"/>
        <v>1089400.0799999998</v>
      </c>
      <c r="V173" s="114">
        <f t="shared" si="27"/>
        <v>0</v>
      </c>
      <c r="W173" s="122"/>
      <c r="X173" s="123"/>
    </row>
    <row r="174" spans="1:24" s="89" customFormat="1" ht="24" x14ac:dyDescent="0.3">
      <c r="A174" s="90" t="s">
        <v>263</v>
      </c>
      <c r="B174" s="81"/>
      <c r="C174" s="81"/>
      <c r="D174" s="81"/>
      <c r="E174" s="59"/>
      <c r="F174" s="97"/>
      <c r="G174" s="83"/>
      <c r="H174" s="96"/>
      <c r="I174" s="231"/>
      <c r="J174" s="81"/>
      <c r="K174" s="81">
        <v>100</v>
      </c>
      <c r="L174" s="81"/>
      <c r="M174" s="81"/>
      <c r="N174" s="81"/>
      <c r="O174" s="81"/>
      <c r="P174" s="41">
        <f>SUBTOTAL(9,I174:O174)</f>
        <v>100</v>
      </c>
      <c r="Q174" s="97">
        <f>7784.48*1.16</f>
        <v>9029.996799999999</v>
      </c>
      <c r="R174" s="20">
        <f t="shared" si="35"/>
        <v>902999.67999999993</v>
      </c>
      <c r="S174" s="81">
        <v>1949</v>
      </c>
      <c r="T174" s="52">
        <f t="shared" si="29"/>
        <v>100</v>
      </c>
      <c r="U174" s="236">
        <f t="shared" si="36"/>
        <v>902999.67999999993</v>
      </c>
      <c r="V174" s="114">
        <f t="shared" si="27"/>
        <v>0</v>
      </c>
      <c r="W174" s="122"/>
      <c r="X174" s="123"/>
    </row>
    <row r="175" spans="1:24" s="89" customFormat="1" ht="16.5" x14ac:dyDescent="0.3">
      <c r="A175" s="126" t="s">
        <v>59</v>
      </c>
      <c r="B175" s="81"/>
      <c r="C175" s="81"/>
      <c r="D175" s="81">
        <v>7</v>
      </c>
      <c r="E175" s="59"/>
      <c r="F175" s="97"/>
      <c r="G175" s="83">
        <f>F175*E175</f>
        <v>0</v>
      </c>
      <c r="H175" s="96"/>
      <c r="I175" s="231"/>
      <c r="J175" s="81"/>
      <c r="K175" s="81">
        <v>10</v>
      </c>
      <c r="L175" s="81"/>
      <c r="M175" s="81"/>
      <c r="N175" s="81"/>
      <c r="O175" s="81"/>
      <c r="P175" s="41">
        <f>SUBTOTAL(9,I175:O175)</f>
        <v>10</v>
      </c>
      <c r="Q175" s="97">
        <f>34870.52*1.16</f>
        <v>40449.803199999995</v>
      </c>
      <c r="R175" s="20">
        <f t="shared" si="35"/>
        <v>404498.03199999995</v>
      </c>
      <c r="S175" s="81">
        <v>63</v>
      </c>
      <c r="T175" s="52">
        <f t="shared" si="29"/>
        <v>10</v>
      </c>
      <c r="U175" s="236">
        <f t="shared" si="36"/>
        <v>404498.03199999995</v>
      </c>
      <c r="V175" s="114">
        <f t="shared" si="27"/>
        <v>0</v>
      </c>
      <c r="W175" s="122"/>
      <c r="X175" s="123"/>
    </row>
    <row r="176" spans="1:24" s="89" customFormat="1" ht="18.75" customHeight="1" x14ac:dyDescent="0.3">
      <c r="A176" s="90" t="s">
        <v>264</v>
      </c>
      <c r="B176" s="81"/>
      <c r="C176" s="81"/>
      <c r="D176" s="81"/>
      <c r="E176" s="59"/>
      <c r="F176" s="97"/>
      <c r="G176" s="83"/>
      <c r="H176" s="96"/>
      <c r="I176" s="231"/>
      <c r="J176" s="81"/>
      <c r="K176" s="81">
        <v>31</v>
      </c>
      <c r="L176" s="81"/>
      <c r="M176" s="81"/>
      <c r="N176" s="81"/>
      <c r="O176" s="81"/>
      <c r="P176" s="41">
        <f>SUBTOTAL(9,I176:O176)</f>
        <v>31</v>
      </c>
      <c r="Q176" s="20">
        <f>5987.93*1.16</f>
        <v>6945.9988000000003</v>
      </c>
      <c r="R176" s="20">
        <f t="shared" si="35"/>
        <v>215325.96280000001</v>
      </c>
      <c r="S176" s="81">
        <v>37</v>
      </c>
      <c r="T176" s="52">
        <f t="shared" si="29"/>
        <v>31</v>
      </c>
      <c r="U176" s="236">
        <f t="shared" si="36"/>
        <v>215325.96280000001</v>
      </c>
      <c r="V176" s="114">
        <f t="shared" si="27"/>
        <v>0</v>
      </c>
      <c r="W176" s="122"/>
      <c r="X176" s="123"/>
    </row>
    <row r="177" spans="1:25" s="89" customFormat="1" ht="18.75" customHeight="1" x14ac:dyDescent="0.3">
      <c r="A177" s="90" t="s">
        <v>60</v>
      </c>
      <c r="B177" s="81"/>
      <c r="C177" s="81"/>
      <c r="D177" s="81">
        <v>338</v>
      </c>
      <c r="E177" s="59">
        <v>75</v>
      </c>
      <c r="F177" s="97">
        <f>1447.41*1.16</f>
        <v>1678.9956</v>
      </c>
      <c r="G177" s="83">
        <f>+E177*F177</f>
        <v>125924.67</v>
      </c>
      <c r="H177" s="96"/>
      <c r="I177" s="231"/>
      <c r="J177" s="81"/>
      <c r="K177" s="81"/>
      <c r="L177" s="81"/>
      <c r="M177" s="81"/>
      <c r="N177" s="81"/>
      <c r="O177" s="81"/>
      <c r="P177" s="81"/>
      <c r="Q177" s="20"/>
      <c r="R177" s="20">
        <f t="shared" si="35"/>
        <v>0</v>
      </c>
      <c r="S177" s="81"/>
      <c r="T177" s="52">
        <f t="shared" si="29"/>
        <v>75</v>
      </c>
      <c r="U177" s="236">
        <f>+T177*F177</f>
        <v>125924.67</v>
      </c>
      <c r="V177" s="114">
        <f t="shared" si="27"/>
        <v>0</v>
      </c>
      <c r="W177" s="122"/>
      <c r="X177" s="123"/>
    </row>
    <row r="178" spans="1:25" s="89" customFormat="1" ht="18.75" customHeight="1" x14ac:dyDescent="0.3">
      <c r="A178" s="90" t="s">
        <v>61</v>
      </c>
      <c r="B178" s="81"/>
      <c r="C178" s="81"/>
      <c r="D178" s="81">
        <v>247</v>
      </c>
      <c r="E178" s="59">
        <v>130</v>
      </c>
      <c r="F178" s="97">
        <f>1097.41*1.16</f>
        <v>1272.9956</v>
      </c>
      <c r="G178" s="83">
        <f>+E178*F178</f>
        <v>165489.42799999999</v>
      </c>
      <c r="H178" s="96"/>
      <c r="I178" s="231"/>
      <c r="J178" s="81"/>
      <c r="K178" s="81"/>
      <c r="L178" s="81"/>
      <c r="M178" s="81"/>
      <c r="N178" s="81"/>
      <c r="O178" s="81"/>
      <c r="P178" s="81"/>
      <c r="Q178" s="20"/>
      <c r="R178" s="20">
        <f t="shared" si="35"/>
        <v>0</v>
      </c>
      <c r="S178" s="81"/>
      <c r="T178" s="52">
        <f t="shared" si="29"/>
        <v>130</v>
      </c>
      <c r="U178" s="236">
        <f>+T178*F178</f>
        <v>165489.42799999999</v>
      </c>
      <c r="V178" s="114">
        <f t="shared" si="27"/>
        <v>0</v>
      </c>
      <c r="W178" s="122"/>
      <c r="X178" s="123"/>
    </row>
    <row r="179" spans="1:25" s="89" customFormat="1" ht="18.75" customHeight="1" x14ac:dyDescent="0.3">
      <c r="A179" s="90" t="s">
        <v>163</v>
      </c>
      <c r="B179" s="81"/>
      <c r="C179" s="81"/>
      <c r="D179" s="81">
        <v>0</v>
      </c>
      <c r="E179" s="59">
        <v>245</v>
      </c>
      <c r="F179" s="97">
        <f>712.07*1.16</f>
        <v>826.00120000000004</v>
      </c>
      <c r="G179" s="83">
        <f>+E179*F179</f>
        <v>202370.29400000002</v>
      </c>
      <c r="H179" s="96"/>
      <c r="I179" s="231"/>
      <c r="J179" s="81"/>
      <c r="K179" s="81"/>
      <c r="L179" s="81"/>
      <c r="M179" s="81"/>
      <c r="N179" s="81"/>
      <c r="O179" s="81"/>
      <c r="P179" s="81"/>
      <c r="Q179" s="20"/>
      <c r="R179" s="20">
        <f t="shared" si="35"/>
        <v>0</v>
      </c>
      <c r="S179" s="81"/>
      <c r="T179" s="52">
        <f t="shared" si="29"/>
        <v>245</v>
      </c>
      <c r="U179" s="236">
        <f>+T179*F179</f>
        <v>202370.29400000002</v>
      </c>
      <c r="V179" s="114">
        <f t="shared" si="27"/>
        <v>0</v>
      </c>
      <c r="W179" s="122"/>
      <c r="X179" s="123"/>
    </row>
    <row r="180" spans="1:25" s="89" customFormat="1" ht="18.75" customHeight="1" x14ac:dyDescent="0.3">
      <c r="A180" s="90" t="s">
        <v>167</v>
      </c>
      <c r="B180" s="81"/>
      <c r="C180" s="81"/>
      <c r="D180" s="81">
        <v>0</v>
      </c>
      <c r="E180" s="59">
        <v>10</v>
      </c>
      <c r="F180" s="97">
        <f>2369.83*1.16</f>
        <v>2749.0027999999998</v>
      </c>
      <c r="G180" s="83">
        <f t="shared" ref="G180:G198" si="37">+E180*F180</f>
        <v>27490.027999999998</v>
      </c>
      <c r="H180" s="96"/>
      <c r="I180" s="231"/>
      <c r="J180" s="81"/>
      <c r="K180" s="81"/>
      <c r="L180" s="81"/>
      <c r="M180" s="81"/>
      <c r="N180" s="81"/>
      <c r="O180" s="81"/>
      <c r="P180" s="81"/>
      <c r="Q180" s="20"/>
      <c r="R180" s="20">
        <f t="shared" si="35"/>
        <v>0</v>
      </c>
      <c r="S180" s="81"/>
      <c r="T180" s="52">
        <f t="shared" si="29"/>
        <v>10</v>
      </c>
      <c r="U180" s="236">
        <f>+T180*F180</f>
        <v>27490.027999999998</v>
      </c>
      <c r="V180" s="114">
        <f t="shared" si="27"/>
        <v>0</v>
      </c>
      <c r="W180" s="122"/>
      <c r="X180" s="123"/>
    </row>
    <row r="181" spans="1:25" s="89" customFormat="1" ht="18.75" customHeight="1" x14ac:dyDescent="0.3">
      <c r="A181" s="90" t="s">
        <v>256</v>
      </c>
      <c r="B181" s="81"/>
      <c r="C181" s="81"/>
      <c r="D181" s="81"/>
      <c r="E181" s="59"/>
      <c r="F181" s="97"/>
      <c r="G181" s="83"/>
      <c r="H181" s="96"/>
      <c r="I181" s="231"/>
      <c r="J181" s="81"/>
      <c r="K181" s="81">
        <v>14</v>
      </c>
      <c r="L181" s="81"/>
      <c r="M181" s="81"/>
      <c r="N181" s="81"/>
      <c r="O181" s="81"/>
      <c r="P181" s="41">
        <f>SUBTOTAL(9,I181:O181)</f>
        <v>14</v>
      </c>
      <c r="Q181" s="20">
        <f>870.69*1.16</f>
        <v>1010.0004</v>
      </c>
      <c r="R181" s="20">
        <f>+Q181*P181</f>
        <v>14140.0056</v>
      </c>
      <c r="S181" s="81">
        <v>24</v>
      </c>
      <c r="T181" s="52">
        <f t="shared" si="29"/>
        <v>14</v>
      </c>
      <c r="U181" s="236">
        <f t="shared" si="36"/>
        <v>14140.0056</v>
      </c>
      <c r="V181" s="114">
        <f t="shared" si="27"/>
        <v>0</v>
      </c>
      <c r="W181" s="122"/>
      <c r="X181" s="123"/>
    </row>
    <row r="182" spans="1:25" s="89" customFormat="1" ht="18.75" customHeight="1" x14ac:dyDescent="0.3">
      <c r="A182" s="90" t="s">
        <v>341</v>
      </c>
      <c r="B182" s="81"/>
      <c r="C182" s="81"/>
      <c r="D182" s="81"/>
      <c r="E182" s="59"/>
      <c r="F182" s="97"/>
      <c r="G182" s="83"/>
      <c r="H182" s="96"/>
      <c r="I182" s="231"/>
      <c r="J182" s="81"/>
      <c r="K182" s="81">
        <v>10000</v>
      </c>
      <c r="L182" s="81"/>
      <c r="M182" s="81"/>
      <c r="N182" s="81"/>
      <c r="O182" s="81"/>
      <c r="P182" s="41">
        <f>SUBTOTAL(9,I182:O182)</f>
        <v>10000</v>
      </c>
      <c r="Q182" s="20">
        <f>27.59*1.16</f>
        <v>32.004399999999997</v>
      </c>
      <c r="R182" s="20">
        <f>+Q182*P182</f>
        <v>320043.99999999994</v>
      </c>
      <c r="S182" s="81">
        <v>0</v>
      </c>
      <c r="T182" s="52">
        <f t="shared" si="29"/>
        <v>10000</v>
      </c>
      <c r="U182" s="236">
        <f t="shared" si="36"/>
        <v>320043.99999999994</v>
      </c>
      <c r="V182" s="114">
        <f t="shared" si="27"/>
        <v>0</v>
      </c>
      <c r="W182" s="122"/>
      <c r="X182" s="123"/>
      <c r="Y182" s="124"/>
    </row>
    <row r="183" spans="1:25" s="89" customFormat="1" ht="18.75" customHeight="1" x14ac:dyDescent="0.3">
      <c r="A183" s="90" t="s">
        <v>62</v>
      </c>
      <c r="B183" s="81"/>
      <c r="C183" s="81"/>
      <c r="D183" s="81">
        <v>0</v>
      </c>
      <c r="E183" s="59">
        <v>10</v>
      </c>
      <c r="F183" s="97">
        <f>1077.59*1.16</f>
        <v>1250.0043999999998</v>
      </c>
      <c r="G183" s="83">
        <f t="shared" si="37"/>
        <v>12500.043999999998</v>
      </c>
      <c r="H183" s="96"/>
      <c r="I183" s="231"/>
      <c r="J183" s="81"/>
      <c r="K183" s="81"/>
      <c r="L183" s="81"/>
      <c r="M183" s="81"/>
      <c r="N183" s="81"/>
      <c r="O183" s="81"/>
      <c r="P183" s="81"/>
      <c r="Q183" s="20"/>
      <c r="R183" s="20">
        <f t="shared" ref="R183:R239" si="38">+Q183*P183</f>
        <v>0</v>
      </c>
      <c r="S183" s="81"/>
      <c r="T183" s="52">
        <f t="shared" si="29"/>
        <v>10</v>
      </c>
      <c r="U183" s="236">
        <f>+T183*F183</f>
        <v>12500.043999999998</v>
      </c>
      <c r="V183" s="114">
        <f t="shared" si="27"/>
        <v>0</v>
      </c>
      <c r="W183" s="122"/>
      <c r="X183" s="123"/>
    </row>
    <row r="184" spans="1:25" s="89" customFormat="1" ht="18.75" customHeight="1" x14ac:dyDescent="0.3">
      <c r="A184" s="90" t="s">
        <v>162</v>
      </c>
      <c r="B184" s="81"/>
      <c r="C184" s="81"/>
      <c r="D184" s="81">
        <v>13</v>
      </c>
      <c r="E184" s="59">
        <v>16</v>
      </c>
      <c r="F184" s="97">
        <f>1879.31*1.16</f>
        <v>2179.9995999999996</v>
      </c>
      <c r="G184" s="83">
        <f>E184*F184</f>
        <v>34879.993599999994</v>
      </c>
      <c r="H184" s="96"/>
      <c r="I184" s="231"/>
      <c r="J184" s="81"/>
      <c r="K184" s="81"/>
      <c r="L184" s="81"/>
      <c r="M184" s="81"/>
      <c r="N184" s="81"/>
      <c r="O184" s="81"/>
      <c r="P184" s="81"/>
      <c r="Q184" s="20"/>
      <c r="R184" s="20">
        <f t="shared" si="38"/>
        <v>0</v>
      </c>
      <c r="S184" s="81"/>
      <c r="T184" s="52">
        <f t="shared" si="29"/>
        <v>16</v>
      </c>
      <c r="U184" s="236">
        <f>+T184*F184</f>
        <v>34879.993599999994</v>
      </c>
      <c r="V184" s="114">
        <f t="shared" si="27"/>
        <v>0</v>
      </c>
      <c r="W184" s="122"/>
      <c r="X184" s="123"/>
    </row>
    <row r="185" spans="1:25" s="89" customFormat="1" ht="18.75" customHeight="1" x14ac:dyDescent="0.3">
      <c r="A185" s="90" t="s">
        <v>444</v>
      </c>
      <c r="B185" s="81"/>
      <c r="C185" s="81"/>
      <c r="D185" s="81">
        <v>0</v>
      </c>
      <c r="E185" s="59"/>
      <c r="F185" s="97"/>
      <c r="G185" s="83">
        <f t="shared" si="37"/>
        <v>0</v>
      </c>
      <c r="H185" s="96"/>
      <c r="I185" s="231"/>
      <c r="J185" s="81"/>
      <c r="K185" s="81">
        <v>8</v>
      </c>
      <c r="L185" s="81"/>
      <c r="M185" s="81"/>
      <c r="N185" s="81"/>
      <c r="O185" s="81"/>
      <c r="P185" s="41">
        <f>SUBTOTAL(9,I185:O185)</f>
        <v>8</v>
      </c>
      <c r="Q185" s="97">
        <f>95000*1.16</f>
        <v>110199.99999999999</v>
      </c>
      <c r="R185" s="20">
        <f t="shared" si="38"/>
        <v>881599.99999999988</v>
      </c>
      <c r="S185" s="81">
        <v>0</v>
      </c>
      <c r="T185" s="52">
        <f t="shared" si="29"/>
        <v>8</v>
      </c>
      <c r="U185" s="236">
        <f t="shared" si="36"/>
        <v>881599.99999999988</v>
      </c>
      <c r="V185" s="114">
        <f t="shared" si="27"/>
        <v>0</v>
      </c>
      <c r="W185" s="122"/>
      <c r="X185" s="123"/>
    </row>
    <row r="186" spans="1:25" s="89" customFormat="1" ht="18.75" customHeight="1" x14ac:dyDescent="0.3">
      <c r="A186" s="90" t="s">
        <v>290</v>
      </c>
      <c r="B186" s="81"/>
      <c r="C186" s="81"/>
      <c r="D186" s="81">
        <v>25</v>
      </c>
      <c r="E186" s="59">
        <v>4</v>
      </c>
      <c r="F186" s="97">
        <f>110000*1.16</f>
        <v>127599.99999999999</v>
      </c>
      <c r="G186" s="83">
        <f t="shared" si="37"/>
        <v>510399.99999999994</v>
      </c>
      <c r="H186" s="96"/>
      <c r="I186" s="231"/>
      <c r="J186" s="81"/>
      <c r="K186" s="81">
        <v>4</v>
      </c>
      <c r="L186" s="81"/>
      <c r="M186" s="81"/>
      <c r="N186" s="81"/>
      <c r="O186" s="81"/>
      <c r="P186" s="41">
        <f>SUBTOTAL(9,I186:O186)</f>
        <v>4</v>
      </c>
      <c r="Q186" s="97">
        <f>110000*1.16</f>
        <v>127599.99999999999</v>
      </c>
      <c r="R186" s="20">
        <f t="shared" si="38"/>
        <v>510399.99999999994</v>
      </c>
      <c r="S186" s="81"/>
      <c r="T186" s="52">
        <f t="shared" si="29"/>
        <v>8</v>
      </c>
      <c r="U186" s="236">
        <f t="shared" si="36"/>
        <v>1020799.9999999999</v>
      </c>
      <c r="V186" s="114">
        <f t="shared" si="27"/>
        <v>0</v>
      </c>
      <c r="W186" s="122"/>
      <c r="X186" s="123"/>
    </row>
    <row r="187" spans="1:25" s="89" customFormat="1" ht="18.75" customHeight="1" x14ac:dyDescent="0.3">
      <c r="A187" s="90" t="s">
        <v>289</v>
      </c>
      <c r="B187" s="81"/>
      <c r="C187" s="81"/>
      <c r="D187" s="81">
        <v>19</v>
      </c>
      <c r="E187" s="59"/>
      <c r="F187" s="97"/>
      <c r="G187" s="83">
        <f t="shared" si="37"/>
        <v>0</v>
      </c>
      <c r="H187" s="96"/>
      <c r="I187" s="231"/>
      <c r="J187" s="81"/>
      <c r="K187" s="81">
        <v>27</v>
      </c>
      <c r="L187" s="81"/>
      <c r="M187" s="81"/>
      <c r="N187" s="81"/>
      <c r="O187" s="81"/>
      <c r="P187" s="41">
        <f>SUBTOTAL(9,I187:O187)</f>
        <v>27</v>
      </c>
      <c r="Q187" s="20">
        <f>110000*1.16</f>
        <v>127599.99999999999</v>
      </c>
      <c r="R187" s="20">
        <f t="shared" si="38"/>
        <v>3445199.9999999995</v>
      </c>
      <c r="S187" s="81"/>
      <c r="T187" s="52">
        <f t="shared" si="29"/>
        <v>27</v>
      </c>
      <c r="U187" s="236">
        <f t="shared" si="36"/>
        <v>3445199.9999999995</v>
      </c>
      <c r="V187" s="114">
        <f t="shared" si="27"/>
        <v>0</v>
      </c>
      <c r="W187" s="122"/>
      <c r="X187" s="123"/>
    </row>
    <row r="188" spans="1:25" s="89" customFormat="1" ht="18.75" customHeight="1" x14ac:dyDescent="0.3">
      <c r="A188" s="90" t="s">
        <v>291</v>
      </c>
      <c r="B188" s="81"/>
      <c r="C188" s="81"/>
      <c r="D188" s="81">
        <v>0</v>
      </c>
      <c r="E188" s="59">
        <v>6</v>
      </c>
      <c r="F188" s="97">
        <f>100000*1.16</f>
        <v>115999.99999999999</v>
      </c>
      <c r="G188" s="83">
        <f t="shared" si="37"/>
        <v>695999.99999999988</v>
      </c>
      <c r="H188" s="96"/>
      <c r="I188" s="231"/>
      <c r="J188" s="81"/>
      <c r="K188" s="81"/>
      <c r="L188" s="81"/>
      <c r="M188" s="81"/>
      <c r="N188" s="81"/>
      <c r="O188" s="81"/>
      <c r="P188" s="81"/>
      <c r="Q188" s="20"/>
      <c r="R188" s="20">
        <f t="shared" si="38"/>
        <v>0</v>
      </c>
      <c r="S188" s="81"/>
      <c r="T188" s="52">
        <f t="shared" si="29"/>
        <v>6</v>
      </c>
      <c r="U188" s="236">
        <f>+T188*F188</f>
        <v>695999.99999999988</v>
      </c>
      <c r="V188" s="114">
        <f t="shared" si="27"/>
        <v>0</v>
      </c>
      <c r="W188" s="122"/>
      <c r="X188" s="123"/>
    </row>
    <row r="189" spans="1:25" s="89" customFormat="1" ht="18.75" customHeight="1" x14ac:dyDescent="0.3">
      <c r="A189" s="90" t="s">
        <v>292</v>
      </c>
      <c r="B189" s="81"/>
      <c r="C189" s="81"/>
      <c r="D189" s="81">
        <v>2</v>
      </c>
      <c r="E189" s="59">
        <v>4</v>
      </c>
      <c r="F189" s="97">
        <f>20000*1.16</f>
        <v>23200</v>
      </c>
      <c r="G189" s="83">
        <f t="shared" si="37"/>
        <v>92800</v>
      </c>
      <c r="H189" s="96"/>
      <c r="I189" s="231"/>
      <c r="J189" s="81"/>
      <c r="K189" s="81"/>
      <c r="L189" s="81"/>
      <c r="M189" s="81"/>
      <c r="N189" s="81"/>
      <c r="O189" s="81"/>
      <c r="P189" s="81"/>
      <c r="Q189" s="20"/>
      <c r="R189" s="20">
        <f t="shared" si="38"/>
        <v>0</v>
      </c>
      <c r="S189" s="81"/>
      <c r="T189" s="52">
        <f t="shared" si="29"/>
        <v>4</v>
      </c>
      <c r="U189" s="236">
        <f>+T189*F189</f>
        <v>92800</v>
      </c>
      <c r="V189" s="114">
        <f t="shared" si="27"/>
        <v>0</v>
      </c>
      <c r="W189" s="122"/>
      <c r="X189" s="123"/>
    </row>
    <row r="190" spans="1:25" s="89" customFormat="1" ht="18.75" customHeight="1" x14ac:dyDescent="0.3">
      <c r="A190" s="90" t="s">
        <v>293</v>
      </c>
      <c r="B190" s="81"/>
      <c r="C190" s="81"/>
      <c r="D190" s="81">
        <v>1</v>
      </c>
      <c r="E190" s="59">
        <v>1</v>
      </c>
      <c r="F190" s="97">
        <f>450017*1.16</f>
        <v>522019.72</v>
      </c>
      <c r="G190" s="83">
        <f t="shared" si="37"/>
        <v>522019.72</v>
      </c>
      <c r="H190" s="96"/>
      <c r="I190" s="231"/>
      <c r="J190" s="81"/>
      <c r="K190" s="81"/>
      <c r="L190" s="81"/>
      <c r="M190" s="81"/>
      <c r="N190" s="81"/>
      <c r="O190" s="81"/>
      <c r="P190" s="81"/>
      <c r="Q190" s="20"/>
      <c r="R190" s="20">
        <f t="shared" si="38"/>
        <v>0</v>
      </c>
      <c r="S190" s="81"/>
      <c r="T190" s="52">
        <f t="shared" si="29"/>
        <v>1</v>
      </c>
      <c r="U190" s="236">
        <f>+T190*F190</f>
        <v>522019.72</v>
      </c>
      <c r="V190" s="114">
        <f t="shared" si="27"/>
        <v>0</v>
      </c>
      <c r="W190" s="122"/>
      <c r="X190" s="123"/>
    </row>
    <row r="191" spans="1:25" s="89" customFormat="1" ht="18.75" customHeight="1" x14ac:dyDescent="0.3">
      <c r="A191" s="90" t="s">
        <v>360</v>
      </c>
      <c r="B191" s="81"/>
      <c r="C191" s="81"/>
      <c r="D191" s="81">
        <v>1</v>
      </c>
      <c r="E191" s="59">
        <v>4</v>
      </c>
      <c r="F191" s="97">
        <f>200000*1.16</f>
        <v>231999.99999999997</v>
      </c>
      <c r="G191" s="83">
        <f>+E191*F191</f>
        <v>927999.99999999988</v>
      </c>
      <c r="H191" s="96"/>
      <c r="I191" s="231"/>
      <c r="J191" s="81"/>
      <c r="K191" s="81">
        <v>5</v>
      </c>
      <c r="L191" s="81"/>
      <c r="M191" s="81"/>
      <c r="N191" s="81"/>
      <c r="O191" s="81"/>
      <c r="P191" s="41">
        <f>SUBTOTAL(9,I191:O191)</f>
        <v>5</v>
      </c>
      <c r="Q191" s="20">
        <f>+F191</f>
        <v>231999.99999999997</v>
      </c>
      <c r="R191" s="20">
        <f t="shared" si="38"/>
        <v>1159999.9999999998</v>
      </c>
      <c r="S191" s="81">
        <v>1</v>
      </c>
      <c r="T191" s="52">
        <f t="shared" si="29"/>
        <v>9</v>
      </c>
      <c r="U191" s="236">
        <f t="shared" si="36"/>
        <v>2087999.9999999995</v>
      </c>
      <c r="V191" s="114">
        <f t="shared" si="27"/>
        <v>0</v>
      </c>
      <c r="W191" s="122"/>
      <c r="X191" s="123"/>
    </row>
    <row r="192" spans="1:25" s="89" customFormat="1" ht="18.75" customHeight="1" x14ac:dyDescent="0.3">
      <c r="A192" s="90" t="s">
        <v>294</v>
      </c>
      <c r="B192" s="81"/>
      <c r="C192" s="81"/>
      <c r="D192" s="81">
        <v>0</v>
      </c>
      <c r="E192" s="59">
        <v>3</v>
      </c>
      <c r="F192" s="97">
        <f>95000*1.16</f>
        <v>110199.99999999999</v>
      </c>
      <c r="G192" s="83">
        <f>+E192*F192</f>
        <v>330599.99999999994</v>
      </c>
      <c r="H192" s="96"/>
      <c r="I192" s="231"/>
      <c r="J192" s="81"/>
      <c r="K192" s="81"/>
      <c r="L192" s="81"/>
      <c r="M192" s="81"/>
      <c r="N192" s="81"/>
      <c r="O192" s="81"/>
      <c r="P192" s="81"/>
      <c r="Q192" s="20"/>
      <c r="R192" s="20">
        <f t="shared" si="38"/>
        <v>0</v>
      </c>
      <c r="S192" s="81"/>
      <c r="T192" s="52">
        <f t="shared" si="29"/>
        <v>3</v>
      </c>
      <c r="U192" s="236">
        <f>+T192*F192</f>
        <v>330599.99999999994</v>
      </c>
      <c r="V192" s="114">
        <f t="shared" si="27"/>
        <v>0</v>
      </c>
      <c r="W192" s="122"/>
      <c r="X192" s="123"/>
    </row>
    <row r="193" spans="1:28" s="89" customFormat="1" ht="18.75" customHeight="1" x14ac:dyDescent="0.3">
      <c r="A193" s="90" t="s">
        <v>295</v>
      </c>
      <c r="B193" s="81"/>
      <c r="C193" s="81"/>
      <c r="D193" s="81">
        <v>19</v>
      </c>
      <c r="E193" s="59">
        <v>3</v>
      </c>
      <c r="F193" s="97">
        <f>35000*1.16</f>
        <v>40600</v>
      </c>
      <c r="G193" s="83">
        <f t="shared" si="37"/>
        <v>121800</v>
      </c>
      <c r="H193" s="96"/>
      <c r="I193" s="231"/>
      <c r="J193" s="81"/>
      <c r="K193" s="81"/>
      <c r="L193" s="81"/>
      <c r="M193" s="81"/>
      <c r="N193" s="81"/>
      <c r="O193" s="81"/>
      <c r="P193" s="81"/>
      <c r="Q193" s="20"/>
      <c r="R193" s="20">
        <f t="shared" si="38"/>
        <v>0</v>
      </c>
      <c r="S193" s="81"/>
      <c r="T193" s="52">
        <f t="shared" si="29"/>
        <v>3</v>
      </c>
      <c r="U193" s="236">
        <f>+T193*F193</f>
        <v>121800</v>
      </c>
      <c r="V193" s="114">
        <f t="shared" si="27"/>
        <v>0</v>
      </c>
      <c r="W193" s="122"/>
      <c r="X193" s="123"/>
    </row>
    <row r="194" spans="1:28" s="89" customFormat="1" ht="18.75" customHeight="1" x14ac:dyDescent="0.3">
      <c r="A194" s="90" t="s">
        <v>296</v>
      </c>
      <c r="B194" s="81"/>
      <c r="C194" s="81"/>
      <c r="D194" s="81">
        <v>18</v>
      </c>
      <c r="E194" s="59">
        <v>2</v>
      </c>
      <c r="F194" s="97">
        <f>35000*1.16</f>
        <v>40600</v>
      </c>
      <c r="G194" s="83">
        <f t="shared" si="37"/>
        <v>81200</v>
      </c>
      <c r="H194" s="96"/>
      <c r="I194" s="231"/>
      <c r="J194" s="81"/>
      <c r="K194" s="81">
        <v>2</v>
      </c>
      <c r="L194" s="81"/>
      <c r="M194" s="81"/>
      <c r="N194" s="81"/>
      <c r="O194" s="81"/>
      <c r="P194" s="41">
        <f>SUBTOTAL(9,I194:O194)</f>
        <v>2</v>
      </c>
      <c r="Q194" s="97">
        <f>35000*1.16</f>
        <v>40600</v>
      </c>
      <c r="R194" s="20">
        <f t="shared" si="38"/>
        <v>81200</v>
      </c>
      <c r="S194" s="81">
        <v>0</v>
      </c>
      <c r="T194" s="52">
        <f t="shared" si="29"/>
        <v>4</v>
      </c>
      <c r="U194" s="236">
        <f t="shared" si="36"/>
        <v>162400</v>
      </c>
      <c r="V194" s="114">
        <f t="shared" si="27"/>
        <v>0</v>
      </c>
      <c r="W194" s="122"/>
      <c r="X194" s="123"/>
    </row>
    <row r="195" spans="1:28" s="89" customFormat="1" ht="24" customHeight="1" x14ac:dyDescent="0.3">
      <c r="A195" s="90" t="s">
        <v>297</v>
      </c>
      <c r="B195" s="81"/>
      <c r="C195" s="81"/>
      <c r="D195" s="81">
        <v>0</v>
      </c>
      <c r="E195" s="59">
        <v>5</v>
      </c>
      <c r="F195" s="97">
        <f>85000*1.16</f>
        <v>98600</v>
      </c>
      <c r="G195" s="83">
        <f t="shared" si="37"/>
        <v>493000</v>
      </c>
      <c r="H195" s="96"/>
      <c r="I195" s="231"/>
      <c r="J195" s="81"/>
      <c r="K195" s="81"/>
      <c r="L195" s="81"/>
      <c r="M195" s="81"/>
      <c r="N195" s="81"/>
      <c r="O195" s="81"/>
      <c r="P195" s="81"/>
      <c r="Q195" s="20"/>
      <c r="R195" s="20">
        <f t="shared" si="38"/>
        <v>0</v>
      </c>
      <c r="S195" s="81"/>
      <c r="T195" s="52">
        <f t="shared" si="29"/>
        <v>5</v>
      </c>
      <c r="U195" s="236">
        <f>+T195*F195</f>
        <v>493000</v>
      </c>
      <c r="V195" s="114">
        <f t="shared" si="27"/>
        <v>0</v>
      </c>
      <c r="W195" s="122"/>
      <c r="X195" s="123"/>
    </row>
    <row r="196" spans="1:28" s="89" customFormat="1" ht="24" customHeight="1" x14ac:dyDescent="0.3">
      <c r="A196" s="90" t="s">
        <v>298</v>
      </c>
      <c r="B196" s="81"/>
      <c r="C196" s="81"/>
      <c r="D196" s="81">
        <v>3</v>
      </c>
      <c r="E196" s="59">
        <v>2</v>
      </c>
      <c r="F196" s="97">
        <f>55000*1.16</f>
        <v>63799.999999999993</v>
      </c>
      <c r="G196" s="83">
        <f t="shared" si="37"/>
        <v>127599.99999999999</v>
      </c>
      <c r="H196" s="96"/>
      <c r="I196" s="231"/>
      <c r="J196" s="81"/>
      <c r="K196" s="81"/>
      <c r="L196" s="81"/>
      <c r="M196" s="81"/>
      <c r="N196" s="81"/>
      <c r="O196" s="81"/>
      <c r="P196" s="81"/>
      <c r="Q196" s="20"/>
      <c r="R196" s="20">
        <f t="shared" si="38"/>
        <v>0</v>
      </c>
      <c r="S196" s="81"/>
      <c r="T196" s="52">
        <f t="shared" si="29"/>
        <v>2</v>
      </c>
      <c r="U196" s="236">
        <f>+T196*F196</f>
        <v>127599.99999999999</v>
      </c>
      <c r="V196" s="114">
        <f t="shared" si="27"/>
        <v>0</v>
      </c>
      <c r="W196" s="122"/>
      <c r="X196" s="123"/>
    </row>
    <row r="197" spans="1:28" s="89" customFormat="1" ht="24" customHeight="1" x14ac:dyDescent="0.3">
      <c r="A197" s="90" t="s">
        <v>461</v>
      </c>
      <c r="B197" s="81"/>
      <c r="C197" s="81"/>
      <c r="D197" s="81"/>
      <c r="E197" s="59"/>
      <c r="F197" s="97"/>
      <c r="G197" s="83"/>
      <c r="H197" s="96"/>
      <c r="I197" s="231"/>
      <c r="J197" s="81"/>
      <c r="K197" s="81">
        <v>6</v>
      </c>
      <c r="L197" s="81"/>
      <c r="M197" s="81"/>
      <c r="N197" s="81"/>
      <c r="O197" s="81"/>
      <c r="P197" s="41">
        <f>SUBTOTAL(9,I197:O197)</f>
        <v>6</v>
      </c>
      <c r="Q197" s="20">
        <f>490000*1.16</f>
        <v>568400</v>
      </c>
      <c r="R197" s="20">
        <f>+Q197*P197</f>
        <v>3410400</v>
      </c>
      <c r="S197" s="81"/>
      <c r="T197" s="52">
        <f t="shared" si="29"/>
        <v>6</v>
      </c>
      <c r="U197" s="236">
        <f>+T197*Q197</f>
        <v>3410400</v>
      </c>
      <c r="V197" s="114">
        <f t="shared" si="27"/>
        <v>0</v>
      </c>
      <c r="W197" s="122"/>
      <c r="X197" s="123"/>
    </row>
    <row r="198" spans="1:28" s="89" customFormat="1" ht="24" customHeight="1" x14ac:dyDescent="0.3">
      <c r="A198" s="90" t="s">
        <v>299</v>
      </c>
      <c r="B198" s="81"/>
      <c r="C198" s="81"/>
      <c r="D198" s="81">
        <v>2</v>
      </c>
      <c r="E198" s="59">
        <v>3</v>
      </c>
      <c r="F198" s="97">
        <f>227060*1.16</f>
        <v>263389.59999999998</v>
      </c>
      <c r="G198" s="83">
        <f t="shared" si="37"/>
        <v>790168.79999999993</v>
      </c>
      <c r="H198" s="96"/>
      <c r="I198" s="231"/>
      <c r="J198" s="81"/>
      <c r="K198" s="81"/>
      <c r="L198" s="81"/>
      <c r="M198" s="81"/>
      <c r="N198" s="81"/>
      <c r="O198" s="81"/>
      <c r="P198" s="81"/>
      <c r="Q198" s="20"/>
      <c r="R198" s="20">
        <f t="shared" si="38"/>
        <v>0</v>
      </c>
      <c r="S198" s="81"/>
      <c r="T198" s="52">
        <f t="shared" si="29"/>
        <v>3</v>
      </c>
      <c r="U198" s="236">
        <f>+T198*F198</f>
        <v>790168.79999999993</v>
      </c>
      <c r="V198" s="114">
        <f t="shared" si="27"/>
        <v>0</v>
      </c>
      <c r="W198" s="122"/>
      <c r="X198" s="123"/>
    </row>
    <row r="199" spans="1:28" s="89" customFormat="1" ht="16.5" customHeight="1" x14ac:dyDescent="0.3">
      <c r="A199" s="90" t="s">
        <v>63</v>
      </c>
      <c r="B199" s="81"/>
      <c r="C199" s="81"/>
      <c r="D199" s="81">
        <v>0</v>
      </c>
      <c r="E199" s="59">
        <v>1</v>
      </c>
      <c r="F199" s="97">
        <f>253458+1727667+25800000+742320+9000+115719</f>
        <v>28648164</v>
      </c>
      <c r="G199" s="83">
        <f>+F199</f>
        <v>28648164</v>
      </c>
      <c r="H199" s="96"/>
      <c r="I199" s="231"/>
      <c r="J199" s="81"/>
      <c r="K199" s="81"/>
      <c r="L199" s="81"/>
      <c r="M199" s="81"/>
      <c r="N199" s="81"/>
      <c r="O199" s="81"/>
      <c r="P199" s="81"/>
      <c r="Q199" s="20"/>
      <c r="R199" s="20">
        <f t="shared" si="38"/>
        <v>0</v>
      </c>
      <c r="S199" s="81"/>
      <c r="T199" s="52">
        <f t="shared" si="29"/>
        <v>1</v>
      </c>
      <c r="U199" s="236">
        <f>+T199*F199</f>
        <v>28648164</v>
      </c>
      <c r="V199" s="114">
        <f t="shared" ref="V199:V262" si="39">+G199+R199-U199</f>
        <v>0</v>
      </c>
      <c r="W199" s="122"/>
      <c r="X199" s="127"/>
    </row>
    <row r="200" spans="1:28" ht="16.5" customHeight="1" x14ac:dyDescent="0.3">
      <c r="A200" s="53" t="s">
        <v>64</v>
      </c>
      <c r="B200" s="107"/>
      <c r="C200" s="107"/>
      <c r="D200" s="107"/>
      <c r="E200" s="128"/>
      <c r="F200" s="97"/>
      <c r="G200" s="118">
        <f>SUM(G136:G199)</f>
        <v>37756554.713599995</v>
      </c>
      <c r="H200" s="120"/>
      <c r="I200" s="116"/>
      <c r="J200" s="107"/>
      <c r="K200" s="107"/>
      <c r="L200" s="107"/>
      <c r="M200" s="107"/>
      <c r="N200" s="107"/>
      <c r="O200" s="107"/>
      <c r="P200" s="107"/>
      <c r="Q200" s="70"/>
      <c r="R200" s="254">
        <f>SUM(R136:R199)</f>
        <v>23313234.208399996</v>
      </c>
      <c r="S200" s="107"/>
      <c r="T200" s="107"/>
      <c r="U200" s="118">
        <f>SUM(U136:U199)</f>
        <v>61069788.922000006</v>
      </c>
      <c r="V200" s="114">
        <f t="shared" si="39"/>
        <v>0</v>
      </c>
    </row>
    <row r="201" spans="1:28" ht="16.5" customHeight="1" x14ac:dyDescent="0.3">
      <c r="A201" s="119" t="s">
        <v>213</v>
      </c>
      <c r="B201" s="107"/>
      <c r="C201" s="107"/>
      <c r="D201" s="107"/>
      <c r="E201" s="108"/>
      <c r="F201" s="109"/>
      <c r="G201" s="110"/>
      <c r="H201" s="120"/>
      <c r="I201" s="116"/>
      <c r="J201" s="107"/>
      <c r="K201" s="107"/>
      <c r="L201" s="107"/>
      <c r="M201" s="107"/>
      <c r="N201" s="107"/>
      <c r="O201" s="107"/>
      <c r="P201" s="107"/>
      <c r="Q201" s="70"/>
      <c r="R201" s="70"/>
      <c r="S201" s="107"/>
      <c r="T201" s="44"/>
      <c r="U201" s="237"/>
      <c r="V201" s="114">
        <f t="shared" si="39"/>
        <v>0</v>
      </c>
      <c r="X201" s="114"/>
    </row>
    <row r="202" spans="1:28" s="89" customFormat="1" ht="44.25" customHeight="1" x14ac:dyDescent="0.3">
      <c r="A202" s="129" t="s">
        <v>303</v>
      </c>
      <c r="B202" s="81"/>
      <c r="C202" s="81"/>
      <c r="D202" s="58"/>
      <c r="E202" s="59"/>
      <c r="F202" s="130"/>
      <c r="G202" s="83">
        <f>F202*E202</f>
        <v>0</v>
      </c>
      <c r="H202" s="84"/>
      <c r="I202" s="231">
        <v>8</v>
      </c>
      <c r="J202" s="81"/>
      <c r="K202" s="81">
        <v>4</v>
      </c>
      <c r="L202" s="81"/>
      <c r="M202" s="81"/>
      <c r="N202" s="81"/>
      <c r="O202" s="81"/>
      <c r="P202" s="41">
        <f>SUBTOTAL(9,I202:O202)</f>
        <v>12</v>
      </c>
      <c r="Q202" s="20">
        <v>219591</v>
      </c>
      <c r="R202" s="20">
        <f t="shared" si="38"/>
        <v>2635092</v>
      </c>
      <c r="S202" s="81">
        <v>0</v>
      </c>
      <c r="T202" s="52">
        <f t="shared" ref="T202:T265" si="40">+E202+P202</f>
        <v>12</v>
      </c>
      <c r="U202" s="232">
        <f t="shared" ref="U202:U280" si="41">+R202+G202</f>
        <v>2635092</v>
      </c>
      <c r="V202" s="114">
        <f t="shared" si="39"/>
        <v>0</v>
      </c>
      <c r="W202" s="122"/>
      <c r="X202" s="123"/>
      <c r="Y202" s="125"/>
      <c r="Z202" s="123"/>
      <c r="AA202" s="123"/>
      <c r="AB202" s="123"/>
    </row>
    <row r="203" spans="1:28" s="89" customFormat="1" ht="18.75" customHeight="1" x14ac:dyDescent="0.3">
      <c r="A203" s="131" t="s">
        <v>459</v>
      </c>
      <c r="B203" s="81"/>
      <c r="C203" s="81">
        <v>5</v>
      </c>
      <c r="D203" s="81">
        <v>2</v>
      </c>
      <c r="E203" s="59">
        <v>5</v>
      </c>
      <c r="F203" s="97">
        <f>9009*1.16</f>
        <v>10450.439999999999</v>
      </c>
      <c r="G203" s="83">
        <f>F203*E203</f>
        <v>52252.2</v>
      </c>
      <c r="H203" s="96"/>
      <c r="I203" s="231"/>
      <c r="J203" s="81"/>
      <c r="K203" s="81"/>
      <c r="L203" s="81"/>
      <c r="M203" s="81"/>
      <c r="N203" s="81"/>
      <c r="O203" s="81"/>
      <c r="P203" s="81"/>
      <c r="Q203" s="97"/>
      <c r="R203" s="20">
        <f t="shared" si="38"/>
        <v>0</v>
      </c>
      <c r="S203" s="81"/>
      <c r="T203" s="52">
        <f t="shared" si="40"/>
        <v>5</v>
      </c>
      <c r="U203" s="236">
        <f>+T203*F203</f>
        <v>52252.2</v>
      </c>
      <c r="V203" s="114">
        <f t="shared" si="39"/>
        <v>0</v>
      </c>
      <c r="W203" s="122"/>
      <c r="X203" s="123"/>
      <c r="Y203" s="125"/>
      <c r="Z203" s="123"/>
      <c r="AA203" s="123"/>
      <c r="AB203" s="123"/>
    </row>
    <row r="204" spans="1:28" s="89" customFormat="1" ht="18.75" customHeight="1" x14ac:dyDescent="0.3">
      <c r="A204" s="131" t="s">
        <v>207</v>
      </c>
      <c r="B204" s="81"/>
      <c r="C204" s="81"/>
      <c r="D204" s="81"/>
      <c r="E204" s="59"/>
      <c r="F204" s="97"/>
      <c r="G204" s="83">
        <f t="shared" ref="G204:G226" si="42">F204*E204</f>
        <v>0</v>
      </c>
      <c r="H204" s="96"/>
      <c r="I204" s="231">
        <v>12</v>
      </c>
      <c r="J204" s="81"/>
      <c r="K204" s="81">
        <v>20</v>
      </c>
      <c r="L204" s="81"/>
      <c r="M204" s="81"/>
      <c r="N204" s="81"/>
      <c r="O204" s="81"/>
      <c r="P204" s="41">
        <f>SUBTOTAL(9,I204:O204)</f>
        <v>32</v>
      </c>
      <c r="Q204" s="20">
        <f>6335*1.16</f>
        <v>7348.5999999999995</v>
      </c>
      <c r="R204" s="20">
        <f t="shared" si="38"/>
        <v>235155.19999999998</v>
      </c>
      <c r="S204" s="81">
        <v>2</v>
      </c>
      <c r="T204" s="52">
        <f t="shared" si="40"/>
        <v>32</v>
      </c>
      <c r="U204" s="232">
        <f t="shared" si="41"/>
        <v>235155.19999999998</v>
      </c>
      <c r="V204" s="114">
        <f t="shared" si="39"/>
        <v>0</v>
      </c>
      <c r="W204" s="122"/>
      <c r="X204" s="123"/>
      <c r="Y204" s="125"/>
      <c r="Z204" s="123"/>
      <c r="AA204" s="123"/>
      <c r="AB204" s="123"/>
    </row>
    <row r="205" spans="1:28" s="89" customFormat="1" ht="19.5" customHeight="1" x14ac:dyDescent="0.3">
      <c r="A205" s="131" t="s">
        <v>391</v>
      </c>
      <c r="B205" s="81"/>
      <c r="C205" s="81">
        <v>6</v>
      </c>
      <c r="D205" s="81">
        <v>4.5</v>
      </c>
      <c r="E205" s="59">
        <v>6</v>
      </c>
      <c r="F205" s="97">
        <f>151223*1.16</f>
        <v>175418.68</v>
      </c>
      <c r="G205" s="83">
        <f t="shared" si="42"/>
        <v>1052512.08</v>
      </c>
      <c r="H205" s="96"/>
      <c r="I205" s="231"/>
      <c r="J205" s="81"/>
      <c r="K205" s="81"/>
      <c r="L205" s="81"/>
      <c r="M205" s="81"/>
      <c r="N205" s="81"/>
      <c r="O205" s="81"/>
      <c r="P205" s="81"/>
      <c r="Q205" s="20"/>
      <c r="R205" s="20">
        <f t="shared" si="38"/>
        <v>0</v>
      </c>
      <c r="S205" s="81"/>
      <c r="T205" s="52">
        <f t="shared" si="40"/>
        <v>6</v>
      </c>
      <c r="U205" s="236">
        <f>+T205*F205</f>
        <v>1052512.08</v>
      </c>
      <c r="V205" s="114">
        <f t="shared" si="39"/>
        <v>0</v>
      </c>
      <c r="W205" s="122"/>
      <c r="X205" s="123"/>
      <c r="Y205" s="125"/>
      <c r="Z205" s="123"/>
      <c r="AA205" s="123"/>
      <c r="AB205" s="123"/>
    </row>
    <row r="206" spans="1:28" s="89" customFormat="1" ht="27.75" customHeight="1" x14ac:dyDescent="0.3">
      <c r="A206" s="131" t="s">
        <v>392</v>
      </c>
      <c r="B206" s="81"/>
      <c r="C206" s="81">
        <v>10</v>
      </c>
      <c r="D206" s="81">
        <v>0</v>
      </c>
      <c r="E206" s="59"/>
      <c r="F206" s="97"/>
      <c r="G206" s="83">
        <f t="shared" si="42"/>
        <v>0</v>
      </c>
      <c r="H206" s="96"/>
      <c r="I206" s="231"/>
      <c r="J206" s="81"/>
      <c r="K206" s="81">
        <v>6</v>
      </c>
      <c r="L206" s="81"/>
      <c r="M206" s="81"/>
      <c r="N206" s="81"/>
      <c r="O206" s="81"/>
      <c r="P206" s="41">
        <f>SUBTOTAL(9,I206:O206)</f>
        <v>6</v>
      </c>
      <c r="Q206" s="20">
        <f>252604*1.16</f>
        <v>293020.63999999996</v>
      </c>
      <c r="R206" s="20">
        <f t="shared" si="38"/>
        <v>1758123.8399999999</v>
      </c>
      <c r="S206" s="81"/>
      <c r="T206" s="52">
        <f t="shared" si="40"/>
        <v>6</v>
      </c>
      <c r="U206" s="232">
        <f t="shared" si="41"/>
        <v>1758123.8399999999</v>
      </c>
      <c r="V206" s="114">
        <f t="shared" si="39"/>
        <v>0</v>
      </c>
      <c r="W206" s="122"/>
      <c r="X206" s="123"/>
      <c r="Y206" s="125"/>
      <c r="Z206" s="123"/>
      <c r="AA206" s="123"/>
      <c r="AB206" s="123"/>
    </row>
    <row r="207" spans="1:28" s="89" customFormat="1" ht="18.75" customHeight="1" x14ac:dyDescent="0.3">
      <c r="A207" s="131" t="s">
        <v>393</v>
      </c>
      <c r="B207" s="81"/>
      <c r="C207" s="81">
        <v>15</v>
      </c>
      <c r="D207" s="81">
        <v>2.5</v>
      </c>
      <c r="E207" s="59">
        <v>15</v>
      </c>
      <c r="F207" s="97">
        <f>193461*1.16</f>
        <v>224414.75999999998</v>
      </c>
      <c r="G207" s="83">
        <f t="shared" si="42"/>
        <v>3366221.4</v>
      </c>
      <c r="H207" s="96"/>
      <c r="I207" s="231"/>
      <c r="J207" s="81"/>
      <c r="K207" s="81">
        <v>10</v>
      </c>
      <c r="L207" s="81"/>
      <c r="M207" s="81"/>
      <c r="N207" s="81"/>
      <c r="O207" s="81"/>
      <c r="P207" s="41">
        <f>SUBTOTAL(9,I207:O207)</f>
        <v>10</v>
      </c>
      <c r="Q207" s="97">
        <f>193461*1.16</f>
        <v>224414.75999999998</v>
      </c>
      <c r="R207" s="20">
        <f t="shared" si="38"/>
        <v>2244147.5999999996</v>
      </c>
      <c r="S207" s="81"/>
      <c r="T207" s="52">
        <f t="shared" si="40"/>
        <v>25</v>
      </c>
      <c r="U207" s="232">
        <f t="shared" si="41"/>
        <v>5610369</v>
      </c>
      <c r="V207" s="114">
        <f t="shared" si="39"/>
        <v>0</v>
      </c>
      <c r="W207" s="122"/>
      <c r="X207" s="123"/>
      <c r="Y207" s="125"/>
      <c r="Z207" s="123"/>
      <c r="AA207" s="123"/>
      <c r="AB207" s="123"/>
    </row>
    <row r="208" spans="1:28" s="89" customFormat="1" ht="18.75" customHeight="1" x14ac:dyDescent="0.3">
      <c r="A208" s="131" t="s">
        <v>394</v>
      </c>
      <c r="B208" s="81"/>
      <c r="C208" s="81">
        <v>10</v>
      </c>
      <c r="D208" s="81">
        <v>4</v>
      </c>
      <c r="E208" s="59">
        <v>13</v>
      </c>
      <c r="F208" s="97">
        <v>231481</v>
      </c>
      <c r="G208" s="83">
        <f t="shared" si="42"/>
        <v>3009253</v>
      </c>
      <c r="H208" s="96"/>
      <c r="I208" s="231"/>
      <c r="J208" s="81"/>
      <c r="K208" s="81">
        <v>19</v>
      </c>
      <c r="L208" s="81"/>
      <c r="M208" s="81"/>
      <c r="N208" s="81"/>
      <c r="O208" s="81"/>
      <c r="P208" s="41">
        <f>SUBTOTAL(9,I208:O208)</f>
        <v>19</v>
      </c>
      <c r="Q208" s="97">
        <v>231481</v>
      </c>
      <c r="R208" s="20">
        <f t="shared" si="38"/>
        <v>4398139</v>
      </c>
      <c r="S208" s="81"/>
      <c r="T208" s="52">
        <f t="shared" si="40"/>
        <v>32</v>
      </c>
      <c r="U208" s="232">
        <f t="shared" si="41"/>
        <v>7407392</v>
      </c>
      <c r="V208" s="114">
        <f t="shared" si="39"/>
        <v>0</v>
      </c>
      <c r="W208" s="122"/>
      <c r="X208" s="123"/>
      <c r="Y208" s="125"/>
      <c r="Z208" s="123"/>
      <c r="AA208" s="123"/>
      <c r="AB208" s="123"/>
    </row>
    <row r="209" spans="1:28" s="89" customFormat="1" ht="16.5" customHeight="1" x14ac:dyDescent="0.3">
      <c r="A209" s="131" t="s">
        <v>215</v>
      </c>
      <c r="B209" s="81"/>
      <c r="C209" s="81">
        <v>100</v>
      </c>
      <c r="D209" s="81">
        <v>30</v>
      </c>
      <c r="E209" s="59">
        <v>100</v>
      </c>
      <c r="F209" s="97">
        <f>7565*1.16</f>
        <v>8775.4</v>
      </c>
      <c r="G209" s="83">
        <f t="shared" si="42"/>
        <v>877540</v>
      </c>
      <c r="H209" s="96"/>
      <c r="I209" s="231"/>
      <c r="J209" s="81"/>
      <c r="K209" s="81"/>
      <c r="L209" s="81"/>
      <c r="M209" s="81"/>
      <c r="N209" s="81"/>
      <c r="O209" s="81"/>
      <c r="P209" s="81"/>
      <c r="Q209" s="20"/>
      <c r="R209" s="20">
        <f t="shared" si="38"/>
        <v>0</v>
      </c>
      <c r="S209" s="81"/>
      <c r="T209" s="52">
        <f t="shared" si="40"/>
        <v>100</v>
      </c>
      <c r="U209" s="236">
        <f>+T209*F209</f>
        <v>877540</v>
      </c>
      <c r="V209" s="114">
        <f t="shared" si="39"/>
        <v>0</v>
      </c>
      <c r="W209" s="122"/>
      <c r="X209" s="123"/>
      <c r="Y209" s="125"/>
      <c r="Z209" s="123"/>
      <c r="AA209" s="123"/>
      <c r="AB209" s="123"/>
    </row>
    <row r="210" spans="1:28" s="89" customFormat="1" ht="16.5" customHeight="1" x14ac:dyDescent="0.3">
      <c r="A210" s="131" t="s">
        <v>216</v>
      </c>
      <c r="B210" s="81"/>
      <c r="C210" s="81">
        <v>60</v>
      </c>
      <c r="D210" s="81">
        <v>28</v>
      </c>
      <c r="E210" s="59">
        <v>60</v>
      </c>
      <c r="F210" s="97">
        <v>26321</v>
      </c>
      <c r="G210" s="83">
        <f t="shared" si="42"/>
        <v>1579260</v>
      </c>
      <c r="H210" s="96"/>
      <c r="I210" s="231"/>
      <c r="J210" s="81"/>
      <c r="K210" s="81"/>
      <c r="L210" s="81"/>
      <c r="M210" s="81"/>
      <c r="N210" s="81"/>
      <c r="O210" s="81"/>
      <c r="P210" s="81"/>
      <c r="Q210" s="20"/>
      <c r="R210" s="20">
        <f t="shared" si="38"/>
        <v>0</v>
      </c>
      <c r="S210" s="81"/>
      <c r="T210" s="52">
        <f t="shared" si="40"/>
        <v>60</v>
      </c>
      <c r="U210" s="236">
        <f>+T210*F210</f>
        <v>1579260</v>
      </c>
      <c r="V210" s="114">
        <f t="shared" si="39"/>
        <v>0</v>
      </c>
      <c r="W210" s="122"/>
      <c r="X210" s="123"/>
      <c r="Y210" s="125"/>
      <c r="Z210" s="123"/>
      <c r="AA210" s="123"/>
      <c r="AB210" s="123"/>
    </row>
    <row r="211" spans="1:28" s="89" customFormat="1" ht="16.5" customHeight="1" x14ac:dyDescent="0.3">
      <c r="A211" s="131" t="s">
        <v>214</v>
      </c>
      <c r="B211" s="81"/>
      <c r="C211" s="81">
        <v>100</v>
      </c>
      <c r="D211" s="81">
        <v>22</v>
      </c>
      <c r="E211" s="59">
        <v>100</v>
      </c>
      <c r="F211" s="97">
        <f>7701*1.16</f>
        <v>8933.16</v>
      </c>
      <c r="G211" s="83">
        <f t="shared" si="42"/>
        <v>893316</v>
      </c>
      <c r="H211" s="96"/>
      <c r="I211" s="231"/>
      <c r="J211" s="81"/>
      <c r="K211" s="81"/>
      <c r="L211" s="81"/>
      <c r="M211" s="81"/>
      <c r="N211" s="81"/>
      <c r="O211" s="81"/>
      <c r="P211" s="81"/>
      <c r="Q211" s="20"/>
      <c r="R211" s="20">
        <f t="shared" si="38"/>
        <v>0</v>
      </c>
      <c r="S211" s="81"/>
      <c r="T211" s="52">
        <f t="shared" si="40"/>
        <v>100</v>
      </c>
      <c r="U211" s="236">
        <f>+T211*F211</f>
        <v>893316</v>
      </c>
      <c r="V211" s="114">
        <f t="shared" si="39"/>
        <v>0</v>
      </c>
      <c r="W211" s="122"/>
      <c r="X211" s="123"/>
      <c r="Y211" s="125"/>
      <c r="Z211" s="123"/>
      <c r="AA211" s="123"/>
      <c r="AB211" s="123"/>
    </row>
    <row r="212" spans="1:28" s="89" customFormat="1" ht="18.75" customHeight="1" x14ac:dyDescent="0.3">
      <c r="A212" s="131" t="s">
        <v>395</v>
      </c>
      <c r="B212" s="81"/>
      <c r="C212" s="81">
        <v>100</v>
      </c>
      <c r="D212" s="81">
        <v>50</v>
      </c>
      <c r="E212" s="59">
        <v>100</v>
      </c>
      <c r="F212" s="97">
        <f>8420*1.16</f>
        <v>9767.1999999999989</v>
      </c>
      <c r="G212" s="83">
        <f t="shared" si="42"/>
        <v>976719.99999999988</v>
      </c>
      <c r="H212" s="96"/>
      <c r="I212" s="231"/>
      <c r="J212" s="81"/>
      <c r="K212" s="81">
        <v>10</v>
      </c>
      <c r="L212" s="81"/>
      <c r="M212" s="81"/>
      <c r="N212" s="81"/>
      <c r="O212" s="81"/>
      <c r="P212" s="41">
        <f>SUBTOTAL(9,I212:O212)</f>
        <v>10</v>
      </c>
      <c r="Q212" s="97">
        <f>8420*1.16</f>
        <v>9767.1999999999989</v>
      </c>
      <c r="R212" s="20">
        <f t="shared" si="38"/>
        <v>97671.999999999985</v>
      </c>
      <c r="S212" s="81"/>
      <c r="T212" s="52">
        <f t="shared" si="40"/>
        <v>110</v>
      </c>
      <c r="U212" s="232">
        <f t="shared" si="41"/>
        <v>1074391.9999999998</v>
      </c>
      <c r="V212" s="114">
        <f t="shared" si="39"/>
        <v>0</v>
      </c>
      <c r="W212" s="122"/>
      <c r="X212" s="123"/>
      <c r="Y212" s="125"/>
      <c r="Z212" s="123"/>
      <c r="AA212" s="123"/>
      <c r="AB212" s="123"/>
    </row>
    <row r="213" spans="1:28" s="89" customFormat="1" ht="18.75" customHeight="1" x14ac:dyDescent="0.3">
      <c r="A213" s="131" t="s">
        <v>65</v>
      </c>
      <c r="B213" s="81"/>
      <c r="C213" s="81">
        <v>150</v>
      </c>
      <c r="D213" s="81">
        <v>90</v>
      </c>
      <c r="E213" s="59">
        <v>150</v>
      </c>
      <c r="F213" s="97">
        <f>8293*1.16</f>
        <v>9619.8799999999992</v>
      </c>
      <c r="G213" s="83">
        <f t="shared" si="42"/>
        <v>1442981.9999999998</v>
      </c>
      <c r="H213" s="96"/>
      <c r="I213" s="231"/>
      <c r="J213" s="81"/>
      <c r="K213" s="81">
        <v>60</v>
      </c>
      <c r="L213" s="81"/>
      <c r="M213" s="81"/>
      <c r="N213" s="81"/>
      <c r="O213" s="81"/>
      <c r="P213" s="41">
        <f>SUBTOTAL(9,I213:O213)</f>
        <v>60</v>
      </c>
      <c r="Q213" s="97">
        <f>8293*1.16</f>
        <v>9619.8799999999992</v>
      </c>
      <c r="R213" s="20">
        <f t="shared" si="38"/>
        <v>577192.79999999993</v>
      </c>
      <c r="S213" s="81"/>
      <c r="T213" s="52">
        <f t="shared" si="40"/>
        <v>210</v>
      </c>
      <c r="U213" s="232">
        <f t="shared" si="41"/>
        <v>2020174.7999999998</v>
      </c>
      <c r="V213" s="114">
        <f t="shared" si="39"/>
        <v>0</v>
      </c>
      <c r="W213" s="122"/>
      <c r="X213" s="123"/>
      <c r="Y213" s="125"/>
      <c r="Z213" s="123"/>
      <c r="AA213" s="123"/>
      <c r="AB213" s="123"/>
    </row>
    <row r="214" spans="1:28" s="89" customFormat="1" ht="16.5" customHeight="1" x14ac:dyDescent="0.3">
      <c r="A214" s="131" t="s">
        <v>396</v>
      </c>
      <c r="B214" s="81"/>
      <c r="C214" s="81">
        <v>30</v>
      </c>
      <c r="D214" s="81">
        <v>38</v>
      </c>
      <c r="E214" s="59">
        <v>30</v>
      </c>
      <c r="F214" s="97">
        <f>13032*1.16</f>
        <v>15117.119999999999</v>
      </c>
      <c r="G214" s="83">
        <f t="shared" si="42"/>
        <v>453513.6</v>
      </c>
      <c r="H214" s="96"/>
      <c r="I214" s="231"/>
      <c r="J214" s="81"/>
      <c r="K214" s="81">
        <v>5</v>
      </c>
      <c r="L214" s="81"/>
      <c r="M214" s="81"/>
      <c r="N214" s="81"/>
      <c r="O214" s="81"/>
      <c r="P214" s="41">
        <f>SUBTOTAL(9,I214:O214)</f>
        <v>5</v>
      </c>
      <c r="Q214" s="97">
        <f>13032*1.16</f>
        <v>15117.119999999999</v>
      </c>
      <c r="R214" s="20">
        <f t="shared" si="38"/>
        <v>75585.599999999991</v>
      </c>
      <c r="S214" s="81"/>
      <c r="T214" s="52">
        <f t="shared" si="40"/>
        <v>35</v>
      </c>
      <c r="U214" s="232">
        <f t="shared" si="41"/>
        <v>529099.19999999995</v>
      </c>
      <c r="V214" s="114">
        <f t="shared" si="39"/>
        <v>0</v>
      </c>
      <c r="W214" s="122"/>
      <c r="X214" s="123"/>
      <c r="Y214" s="125"/>
      <c r="Z214" s="123"/>
      <c r="AA214" s="123"/>
      <c r="AB214" s="123"/>
    </row>
    <row r="215" spans="1:28" s="89" customFormat="1" ht="18.75" customHeight="1" x14ac:dyDescent="0.3">
      <c r="A215" s="131" t="s">
        <v>218</v>
      </c>
      <c r="B215" s="81"/>
      <c r="C215" s="81">
        <v>3</v>
      </c>
      <c r="D215" s="81">
        <v>0</v>
      </c>
      <c r="E215" s="59">
        <v>3</v>
      </c>
      <c r="F215" s="97">
        <v>294600</v>
      </c>
      <c r="G215" s="83">
        <f t="shared" si="42"/>
        <v>883800</v>
      </c>
      <c r="H215" s="96"/>
      <c r="I215" s="231"/>
      <c r="J215" s="81"/>
      <c r="K215" s="81">
        <v>1</v>
      </c>
      <c r="L215" s="81"/>
      <c r="M215" s="81"/>
      <c r="N215" s="81"/>
      <c r="O215" s="81"/>
      <c r="P215" s="41">
        <f>SUBTOTAL(9,I215:O215)</f>
        <v>1</v>
      </c>
      <c r="Q215" s="20">
        <v>294600</v>
      </c>
      <c r="R215" s="20">
        <f t="shared" si="38"/>
        <v>294600</v>
      </c>
      <c r="S215" s="81"/>
      <c r="T215" s="52">
        <f t="shared" si="40"/>
        <v>4</v>
      </c>
      <c r="U215" s="232">
        <f>+T215*Q215</f>
        <v>1178400</v>
      </c>
      <c r="V215" s="114">
        <f t="shared" si="39"/>
        <v>0</v>
      </c>
      <c r="W215" s="122"/>
      <c r="X215" s="123"/>
      <c r="Y215" s="125"/>
      <c r="Z215" s="123"/>
      <c r="AA215" s="123"/>
      <c r="AB215" s="123"/>
    </row>
    <row r="216" spans="1:28" s="89" customFormat="1" ht="30" customHeight="1" x14ac:dyDescent="0.3">
      <c r="A216" s="131" t="s">
        <v>411</v>
      </c>
      <c r="B216" s="81"/>
      <c r="C216" s="81">
        <v>10</v>
      </c>
      <c r="D216" s="81">
        <v>3</v>
      </c>
      <c r="E216" s="59">
        <v>5</v>
      </c>
      <c r="F216" s="97">
        <f>503974*1.16</f>
        <v>584609.84</v>
      </c>
      <c r="G216" s="83">
        <f t="shared" si="42"/>
        <v>2923049.1999999997</v>
      </c>
      <c r="H216" s="96"/>
      <c r="I216" s="231"/>
      <c r="J216" s="81"/>
      <c r="K216" s="81"/>
      <c r="L216" s="81"/>
      <c r="M216" s="81"/>
      <c r="N216" s="81"/>
      <c r="O216" s="81"/>
      <c r="P216" s="81"/>
      <c r="Q216" s="20"/>
      <c r="R216" s="20">
        <f t="shared" si="38"/>
        <v>0</v>
      </c>
      <c r="S216" s="81"/>
      <c r="T216" s="52">
        <f t="shared" si="40"/>
        <v>5</v>
      </c>
      <c r="U216" s="236">
        <f>+T216*F216</f>
        <v>2923049.1999999997</v>
      </c>
      <c r="V216" s="114">
        <f t="shared" si="39"/>
        <v>0</v>
      </c>
      <c r="W216" s="122"/>
      <c r="X216" s="123"/>
      <c r="Y216" s="125"/>
      <c r="Z216" s="123"/>
      <c r="AA216" s="123"/>
      <c r="AB216" s="123"/>
    </row>
    <row r="217" spans="1:28" s="89" customFormat="1" ht="18.75" customHeight="1" x14ac:dyDescent="0.3">
      <c r="A217" s="131" t="s">
        <v>347</v>
      </c>
      <c r="B217" s="81"/>
      <c r="C217" s="81">
        <v>10</v>
      </c>
      <c r="D217" s="81">
        <v>0</v>
      </c>
      <c r="E217" s="59">
        <v>5</v>
      </c>
      <c r="F217" s="97">
        <f>29595*1.16</f>
        <v>34330.199999999997</v>
      </c>
      <c r="G217" s="83">
        <f t="shared" si="42"/>
        <v>171651</v>
      </c>
      <c r="H217" s="96"/>
      <c r="I217" s="231"/>
      <c r="J217" s="81"/>
      <c r="K217" s="81">
        <v>1</v>
      </c>
      <c r="L217" s="81"/>
      <c r="M217" s="81"/>
      <c r="N217" s="81"/>
      <c r="O217" s="81"/>
      <c r="P217" s="41">
        <f>SUBTOTAL(9,I217:O217)</f>
        <v>1</v>
      </c>
      <c r="Q217" s="97">
        <f>29595*1.16</f>
        <v>34330.199999999997</v>
      </c>
      <c r="R217" s="20">
        <f t="shared" si="38"/>
        <v>34330.199999999997</v>
      </c>
      <c r="S217" s="81"/>
      <c r="T217" s="52">
        <f t="shared" si="40"/>
        <v>6</v>
      </c>
      <c r="U217" s="236">
        <f>+T217*F217</f>
        <v>205981.19999999998</v>
      </c>
      <c r="V217" s="114">
        <f t="shared" si="39"/>
        <v>0</v>
      </c>
      <c r="W217" s="122"/>
      <c r="X217" s="123"/>
      <c r="Y217" s="125"/>
      <c r="Z217" s="123"/>
      <c r="AA217" s="123"/>
      <c r="AB217" s="123"/>
    </row>
    <row r="218" spans="1:28" s="89" customFormat="1" ht="18.75" customHeight="1" x14ac:dyDescent="0.3">
      <c r="A218" s="131" t="s">
        <v>218</v>
      </c>
      <c r="B218" s="81"/>
      <c r="C218" s="81">
        <v>3</v>
      </c>
      <c r="D218" s="81">
        <v>0</v>
      </c>
      <c r="E218" s="59">
        <v>2</v>
      </c>
      <c r="F218" s="97">
        <f>248885*1.16</f>
        <v>288706.59999999998</v>
      </c>
      <c r="G218" s="83">
        <f>F218*E218</f>
        <v>577413.19999999995</v>
      </c>
      <c r="H218" s="96"/>
      <c r="I218" s="231"/>
      <c r="J218" s="81"/>
      <c r="K218" s="81">
        <v>2</v>
      </c>
      <c r="L218" s="81"/>
      <c r="M218" s="81"/>
      <c r="N218" s="81"/>
      <c r="O218" s="81"/>
      <c r="P218" s="41">
        <f>SUBTOTAL(9,I218:O218)</f>
        <v>2</v>
      </c>
      <c r="Q218" s="97">
        <f>248885*1.16</f>
        <v>288706.59999999998</v>
      </c>
      <c r="R218" s="20">
        <f t="shared" si="38"/>
        <v>577413.19999999995</v>
      </c>
      <c r="S218" s="81"/>
      <c r="T218" s="52">
        <f t="shared" si="40"/>
        <v>4</v>
      </c>
      <c r="U218" s="232">
        <f>+R218+G218</f>
        <v>1154826.3999999999</v>
      </c>
      <c r="V218" s="114">
        <f t="shared" si="39"/>
        <v>0</v>
      </c>
      <c r="W218" s="122"/>
      <c r="X218" s="123"/>
      <c r="Y218" s="125"/>
      <c r="Z218" s="123"/>
      <c r="AA218" s="123"/>
      <c r="AB218" s="123"/>
    </row>
    <row r="219" spans="1:28" s="89" customFormat="1" ht="18.75" customHeight="1" x14ac:dyDescent="0.3">
      <c r="A219" s="131" t="s">
        <v>217</v>
      </c>
      <c r="B219" s="81"/>
      <c r="C219" s="81">
        <v>3</v>
      </c>
      <c r="D219" s="81">
        <v>0</v>
      </c>
      <c r="E219" s="59">
        <v>5</v>
      </c>
      <c r="F219" s="97">
        <f>141148*1.16</f>
        <v>163731.68</v>
      </c>
      <c r="G219" s="83">
        <f t="shared" si="42"/>
        <v>818658.39999999991</v>
      </c>
      <c r="H219" s="96"/>
      <c r="I219" s="231"/>
      <c r="J219" s="81"/>
      <c r="K219" s="81">
        <v>2</v>
      </c>
      <c r="L219" s="81"/>
      <c r="M219" s="81"/>
      <c r="N219" s="81"/>
      <c r="O219" s="81"/>
      <c r="P219" s="41">
        <f>SUBTOTAL(9,I219:O219)</f>
        <v>2</v>
      </c>
      <c r="Q219" s="97">
        <f>141148*1.16</f>
        <v>163731.68</v>
      </c>
      <c r="R219" s="20">
        <f>+Q219*P219</f>
        <v>327463.36</v>
      </c>
      <c r="S219" s="81"/>
      <c r="T219" s="52">
        <f t="shared" si="40"/>
        <v>7</v>
      </c>
      <c r="U219" s="232">
        <f t="shared" si="41"/>
        <v>1146121.7599999998</v>
      </c>
      <c r="V219" s="114">
        <f t="shared" si="39"/>
        <v>0</v>
      </c>
      <c r="W219" s="122"/>
      <c r="X219" s="123"/>
      <c r="Y219" s="125"/>
      <c r="Z219" s="123"/>
      <c r="AA219" s="123"/>
      <c r="AB219" s="123"/>
    </row>
    <row r="220" spans="1:28" s="89" customFormat="1" ht="18.75" customHeight="1" x14ac:dyDescent="0.3">
      <c r="A220" s="131" t="s">
        <v>66</v>
      </c>
      <c r="B220" s="81"/>
      <c r="C220" s="81">
        <v>30</v>
      </c>
      <c r="D220" s="81">
        <v>40</v>
      </c>
      <c r="E220" s="59">
        <v>30</v>
      </c>
      <c r="F220" s="97">
        <f>651*1.16</f>
        <v>755.16</v>
      </c>
      <c r="G220" s="83">
        <f t="shared" si="42"/>
        <v>22654.799999999999</v>
      </c>
      <c r="H220" s="96"/>
      <c r="I220" s="231"/>
      <c r="J220" s="81"/>
      <c r="K220" s="81">
        <v>30</v>
      </c>
      <c r="L220" s="81"/>
      <c r="M220" s="81"/>
      <c r="N220" s="81"/>
      <c r="O220" s="81"/>
      <c r="P220" s="41">
        <f>SUBTOTAL(9,I220:O220)</f>
        <v>30</v>
      </c>
      <c r="Q220" s="97">
        <f>651*1.16</f>
        <v>755.16</v>
      </c>
      <c r="R220" s="20">
        <f t="shared" si="38"/>
        <v>22654.799999999999</v>
      </c>
      <c r="S220" s="81"/>
      <c r="T220" s="52">
        <f t="shared" si="40"/>
        <v>60</v>
      </c>
      <c r="U220" s="232">
        <f>+R220+G220</f>
        <v>45309.599999999999</v>
      </c>
      <c r="V220" s="114">
        <f t="shared" si="39"/>
        <v>0</v>
      </c>
      <c r="W220" s="122"/>
      <c r="X220" s="123"/>
      <c r="Y220" s="125"/>
      <c r="Z220" s="123"/>
      <c r="AA220" s="123"/>
      <c r="AB220" s="123"/>
    </row>
    <row r="221" spans="1:28" s="89" customFormat="1" ht="18.75" customHeight="1" x14ac:dyDescent="0.3">
      <c r="A221" s="131" t="s">
        <v>404</v>
      </c>
      <c r="B221" s="81"/>
      <c r="C221" s="81">
        <v>10</v>
      </c>
      <c r="D221" s="81">
        <v>0</v>
      </c>
      <c r="E221" s="59">
        <v>10</v>
      </c>
      <c r="F221" s="97">
        <f>6462*1.16</f>
        <v>7495.9199999999992</v>
      </c>
      <c r="G221" s="83">
        <f t="shared" si="42"/>
        <v>74959.199999999997</v>
      </c>
      <c r="H221" s="96"/>
      <c r="I221" s="231"/>
      <c r="J221" s="81"/>
      <c r="K221" s="81"/>
      <c r="L221" s="81"/>
      <c r="M221" s="81"/>
      <c r="N221" s="81"/>
      <c r="O221" s="81"/>
      <c r="P221" s="81"/>
      <c r="Q221" s="97"/>
      <c r="R221" s="20"/>
      <c r="S221" s="81"/>
      <c r="T221" s="52">
        <f t="shared" si="40"/>
        <v>10</v>
      </c>
      <c r="U221" s="236">
        <f>+T221*F221</f>
        <v>74959.199999999997</v>
      </c>
      <c r="V221" s="114">
        <f t="shared" si="39"/>
        <v>0</v>
      </c>
      <c r="W221" s="122"/>
      <c r="X221" s="123"/>
      <c r="Y221" s="125"/>
      <c r="Z221" s="123"/>
      <c r="AA221" s="123"/>
      <c r="AB221" s="123"/>
    </row>
    <row r="222" spans="1:28" s="89" customFormat="1" ht="18.75" customHeight="1" x14ac:dyDescent="0.3">
      <c r="A222" s="131" t="s">
        <v>219</v>
      </c>
      <c r="B222" s="81"/>
      <c r="C222" s="81">
        <v>50</v>
      </c>
      <c r="D222" s="81">
        <v>44</v>
      </c>
      <c r="E222" s="59">
        <v>50</v>
      </c>
      <c r="F222" s="97">
        <f>4135*1.16</f>
        <v>4796.5999999999995</v>
      </c>
      <c r="G222" s="83">
        <f t="shared" si="42"/>
        <v>239829.99999999997</v>
      </c>
      <c r="H222" s="96"/>
      <c r="I222" s="231"/>
      <c r="J222" s="81"/>
      <c r="K222" s="81">
        <v>10</v>
      </c>
      <c r="L222" s="81"/>
      <c r="M222" s="81"/>
      <c r="N222" s="81"/>
      <c r="O222" s="81"/>
      <c r="P222" s="41">
        <f>SUBTOTAL(9,I222:O222)</f>
        <v>10</v>
      </c>
      <c r="Q222" s="97">
        <f>4135*1.16</f>
        <v>4796.5999999999995</v>
      </c>
      <c r="R222" s="20">
        <f t="shared" si="38"/>
        <v>47965.999999999993</v>
      </c>
      <c r="S222" s="81"/>
      <c r="T222" s="52">
        <f t="shared" si="40"/>
        <v>60</v>
      </c>
      <c r="U222" s="232">
        <f t="shared" si="41"/>
        <v>287795.99999999994</v>
      </c>
      <c r="V222" s="114">
        <f t="shared" si="39"/>
        <v>0</v>
      </c>
      <c r="W222" s="122"/>
      <c r="X222" s="123"/>
      <c r="Y222" s="125"/>
      <c r="Z222" s="123"/>
      <c r="AA222" s="123"/>
      <c r="AB222" s="123"/>
    </row>
    <row r="223" spans="1:28" s="89" customFormat="1" ht="18.75" customHeight="1" x14ac:dyDescent="0.3">
      <c r="A223" s="131" t="s">
        <v>220</v>
      </c>
      <c r="B223" s="81"/>
      <c r="C223" s="81">
        <v>50</v>
      </c>
      <c r="D223" s="81">
        <v>36</v>
      </c>
      <c r="E223" s="59">
        <v>50</v>
      </c>
      <c r="F223" s="97">
        <f>4135*1.16</f>
        <v>4796.5999999999995</v>
      </c>
      <c r="G223" s="83">
        <f t="shared" si="42"/>
        <v>239829.99999999997</v>
      </c>
      <c r="H223" s="96"/>
      <c r="I223" s="231"/>
      <c r="J223" s="81"/>
      <c r="K223" s="81">
        <v>10</v>
      </c>
      <c r="L223" s="81"/>
      <c r="M223" s="81"/>
      <c r="N223" s="81"/>
      <c r="O223" s="81"/>
      <c r="P223" s="41">
        <f>SUBTOTAL(9,I223:O223)</f>
        <v>10</v>
      </c>
      <c r="Q223" s="97">
        <f>4135*1.16</f>
        <v>4796.5999999999995</v>
      </c>
      <c r="R223" s="20">
        <f t="shared" si="38"/>
        <v>47965.999999999993</v>
      </c>
      <c r="S223" s="81"/>
      <c r="T223" s="52">
        <f t="shared" si="40"/>
        <v>60</v>
      </c>
      <c r="U223" s="232">
        <f t="shared" si="41"/>
        <v>287795.99999999994</v>
      </c>
      <c r="V223" s="114">
        <f t="shared" si="39"/>
        <v>0</v>
      </c>
      <c r="W223" s="122"/>
      <c r="X223" s="123"/>
      <c r="Y223" s="125"/>
      <c r="Z223" s="123"/>
      <c r="AA223" s="123"/>
      <c r="AB223" s="123"/>
    </row>
    <row r="224" spans="1:28" s="89" customFormat="1" ht="18.75" customHeight="1" x14ac:dyDescent="0.3">
      <c r="A224" s="132" t="s">
        <v>221</v>
      </c>
      <c r="B224" s="81"/>
      <c r="C224" s="81">
        <v>50</v>
      </c>
      <c r="D224" s="81">
        <v>32</v>
      </c>
      <c r="E224" s="59">
        <v>40</v>
      </c>
      <c r="F224" s="97">
        <f>13825*1.16</f>
        <v>16036.999999999998</v>
      </c>
      <c r="G224" s="83">
        <f t="shared" si="42"/>
        <v>641479.99999999988</v>
      </c>
      <c r="H224" s="96"/>
      <c r="I224" s="231"/>
      <c r="J224" s="81"/>
      <c r="K224" s="81">
        <v>10</v>
      </c>
      <c r="L224" s="81"/>
      <c r="M224" s="81"/>
      <c r="N224" s="81"/>
      <c r="O224" s="81"/>
      <c r="P224" s="41">
        <f>SUBTOTAL(9,I224:O224)</f>
        <v>10</v>
      </c>
      <c r="Q224" s="81">
        <f>13825*1.16</f>
        <v>16036.999999999998</v>
      </c>
      <c r="R224" s="81">
        <f t="shared" si="38"/>
        <v>160369.99999999997</v>
      </c>
      <c r="S224" s="81"/>
      <c r="T224" s="52">
        <f t="shared" si="40"/>
        <v>50</v>
      </c>
      <c r="U224" s="232">
        <f t="shared" si="41"/>
        <v>801849.99999999988</v>
      </c>
      <c r="V224" s="114">
        <f t="shared" si="39"/>
        <v>0</v>
      </c>
      <c r="W224" s="122"/>
      <c r="X224" s="123"/>
      <c r="Y224" s="125"/>
      <c r="Z224" s="123"/>
      <c r="AA224" s="123"/>
      <c r="AB224" s="123"/>
    </row>
    <row r="225" spans="1:28" s="89" customFormat="1" ht="25.5" customHeight="1" x14ac:dyDescent="0.3">
      <c r="A225" s="131" t="s">
        <v>222</v>
      </c>
      <c r="B225" s="81"/>
      <c r="C225" s="81">
        <v>30</v>
      </c>
      <c r="D225" s="81">
        <v>10</v>
      </c>
      <c r="E225" s="59">
        <v>30</v>
      </c>
      <c r="F225" s="97">
        <f>18986*1.16</f>
        <v>22023.759999999998</v>
      </c>
      <c r="G225" s="83">
        <f t="shared" si="42"/>
        <v>660712.79999999993</v>
      </c>
      <c r="H225" s="96"/>
      <c r="I225" s="231"/>
      <c r="J225" s="81"/>
      <c r="K225" s="81">
        <v>10</v>
      </c>
      <c r="L225" s="81"/>
      <c r="M225" s="81"/>
      <c r="N225" s="81"/>
      <c r="O225" s="81"/>
      <c r="P225" s="41">
        <f>SUBTOTAL(9,I225:O225)</f>
        <v>10</v>
      </c>
      <c r="Q225" s="97">
        <f>18986*1.16</f>
        <v>22023.759999999998</v>
      </c>
      <c r="R225" s="81">
        <f t="shared" si="38"/>
        <v>220237.59999999998</v>
      </c>
      <c r="S225" s="81"/>
      <c r="T225" s="52">
        <f t="shared" si="40"/>
        <v>40</v>
      </c>
      <c r="U225" s="232">
        <f>+R225+G225</f>
        <v>880950.39999999991</v>
      </c>
      <c r="V225" s="114">
        <f t="shared" si="39"/>
        <v>0</v>
      </c>
      <c r="W225" s="122"/>
      <c r="X225" s="123"/>
      <c r="Y225" s="125"/>
      <c r="Z225" s="123"/>
      <c r="AA225" s="123"/>
      <c r="AB225" s="123"/>
    </row>
    <row r="226" spans="1:28" s="89" customFormat="1" ht="18.75" customHeight="1" x14ac:dyDescent="0.3">
      <c r="A226" s="131" t="s">
        <v>67</v>
      </c>
      <c r="B226" s="81"/>
      <c r="C226" s="81">
        <v>100</v>
      </c>
      <c r="D226" s="81">
        <v>77</v>
      </c>
      <c r="E226" s="59">
        <v>50</v>
      </c>
      <c r="F226" s="97">
        <f>2290*1.16</f>
        <v>2656.3999999999996</v>
      </c>
      <c r="G226" s="83">
        <f t="shared" si="42"/>
        <v>132819.99999999997</v>
      </c>
      <c r="H226" s="96"/>
      <c r="I226" s="231"/>
      <c r="J226" s="81"/>
      <c r="K226" s="81">
        <v>20</v>
      </c>
      <c r="L226" s="81"/>
      <c r="M226" s="81"/>
      <c r="N226" s="81"/>
      <c r="O226" s="81"/>
      <c r="P226" s="41">
        <f>SUBTOTAL(9,I226:O226)</f>
        <v>20</v>
      </c>
      <c r="Q226" s="97">
        <f>2290*1.16</f>
        <v>2656.3999999999996</v>
      </c>
      <c r="R226" s="20">
        <f t="shared" si="38"/>
        <v>53127.999999999993</v>
      </c>
      <c r="S226" s="81"/>
      <c r="T226" s="52">
        <f t="shared" si="40"/>
        <v>70</v>
      </c>
      <c r="U226" s="232">
        <f t="shared" si="41"/>
        <v>185947.99999999997</v>
      </c>
      <c r="V226" s="114">
        <f t="shared" si="39"/>
        <v>0</v>
      </c>
      <c r="W226" s="122"/>
      <c r="X226" s="123"/>
      <c r="Y226" s="125"/>
      <c r="Z226" s="123"/>
      <c r="AA226" s="123"/>
      <c r="AB226" s="123"/>
    </row>
    <row r="227" spans="1:28" s="89" customFormat="1" ht="16.5" customHeight="1" x14ac:dyDescent="0.3">
      <c r="A227" s="131" t="s">
        <v>390</v>
      </c>
      <c r="B227" s="81"/>
      <c r="C227" s="81"/>
      <c r="D227" s="81">
        <v>16</v>
      </c>
      <c r="E227" s="59">
        <v>1</v>
      </c>
      <c r="F227" s="97">
        <f>81356*1.16</f>
        <v>94372.959999999992</v>
      </c>
      <c r="G227" s="83">
        <f>+F227*E227</f>
        <v>94372.959999999992</v>
      </c>
      <c r="H227" s="96"/>
      <c r="I227" s="231"/>
      <c r="J227" s="81"/>
      <c r="K227" s="81"/>
      <c r="L227" s="81"/>
      <c r="M227" s="81"/>
      <c r="N227" s="81"/>
      <c r="O227" s="81"/>
      <c r="P227" s="81"/>
      <c r="Q227" s="20"/>
      <c r="R227" s="20">
        <f t="shared" si="38"/>
        <v>0</v>
      </c>
      <c r="S227" s="81"/>
      <c r="T227" s="52">
        <f t="shared" si="40"/>
        <v>1</v>
      </c>
      <c r="U227" s="236">
        <f t="shared" ref="U227:U233" si="43">+T227*F227</f>
        <v>94372.959999999992</v>
      </c>
      <c r="V227" s="114">
        <f t="shared" si="39"/>
        <v>0</v>
      </c>
      <c r="W227" s="122"/>
      <c r="X227" s="123"/>
      <c r="Y227" s="125"/>
      <c r="Z227" s="123"/>
      <c r="AA227" s="123"/>
      <c r="AB227" s="123"/>
    </row>
    <row r="228" spans="1:28" s="89" customFormat="1" ht="15" customHeight="1" x14ac:dyDescent="0.3">
      <c r="A228" s="131" t="s">
        <v>397</v>
      </c>
      <c r="B228" s="81"/>
      <c r="C228" s="81"/>
      <c r="D228" s="81">
        <v>0</v>
      </c>
      <c r="E228" s="59">
        <v>1</v>
      </c>
      <c r="F228" s="97">
        <f>85440*1.16</f>
        <v>99110.399999999994</v>
      </c>
      <c r="G228" s="83">
        <f>+F228*E228</f>
        <v>99110.399999999994</v>
      </c>
      <c r="H228" s="96"/>
      <c r="I228" s="231"/>
      <c r="J228" s="81"/>
      <c r="K228" s="81"/>
      <c r="L228" s="81"/>
      <c r="M228" s="81"/>
      <c r="N228" s="81"/>
      <c r="O228" s="81"/>
      <c r="P228" s="81"/>
      <c r="Q228" s="20"/>
      <c r="R228" s="20">
        <f t="shared" si="38"/>
        <v>0</v>
      </c>
      <c r="S228" s="81"/>
      <c r="T228" s="52">
        <f t="shared" si="40"/>
        <v>1</v>
      </c>
      <c r="U228" s="236">
        <f t="shared" si="43"/>
        <v>99110.399999999994</v>
      </c>
      <c r="V228" s="114">
        <f t="shared" si="39"/>
        <v>0</v>
      </c>
      <c r="W228" s="122"/>
      <c r="X228" s="123"/>
      <c r="Y228" s="125"/>
      <c r="Z228" s="123"/>
      <c r="AA228" s="123"/>
      <c r="AB228" s="123"/>
    </row>
    <row r="229" spans="1:28" s="89" customFormat="1" ht="16.5" customHeight="1" x14ac:dyDescent="0.3">
      <c r="A229" s="131" t="s">
        <v>223</v>
      </c>
      <c r="B229" s="81"/>
      <c r="C229" s="81">
        <v>2</v>
      </c>
      <c r="D229" s="81">
        <v>2</v>
      </c>
      <c r="E229" s="59">
        <v>2</v>
      </c>
      <c r="F229" s="97">
        <f>33792*1.16</f>
        <v>39198.719999999994</v>
      </c>
      <c r="G229" s="83">
        <f>F229*E229</f>
        <v>78397.439999999988</v>
      </c>
      <c r="H229" s="96"/>
      <c r="I229" s="231"/>
      <c r="J229" s="81"/>
      <c r="K229" s="81"/>
      <c r="L229" s="81"/>
      <c r="M229" s="81"/>
      <c r="N229" s="81"/>
      <c r="O229" s="81"/>
      <c r="P229" s="81"/>
      <c r="Q229" s="20"/>
      <c r="R229" s="20">
        <f t="shared" si="38"/>
        <v>0</v>
      </c>
      <c r="S229" s="81"/>
      <c r="T229" s="52">
        <f t="shared" si="40"/>
        <v>2</v>
      </c>
      <c r="U229" s="236">
        <f t="shared" si="43"/>
        <v>78397.439999999988</v>
      </c>
      <c r="V229" s="114">
        <f t="shared" si="39"/>
        <v>0</v>
      </c>
      <c r="W229" s="122"/>
      <c r="X229" s="123"/>
      <c r="Y229" s="125"/>
      <c r="Z229" s="123"/>
      <c r="AA229" s="123"/>
      <c r="AB229" s="123"/>
    </row>
    <row r="230" spans="1:28" s="89" customFormat="1" ht="16.5" customHeight="1" x14ac:dyDescent="0.3">
      <c r="A230" s="131" t="s">
        <v>224</v>
      </c>
      <c r="B230" s="81"/>
      <c r="C230" s="81">
        <v>2</v>
      </c>
      <c r="D230" s="81">
        <v>4</v>
      </c>
      <c r="E230" s="59">
        <v>2</v>
      </c>
      <c r="F230" s="97">
        <f>48999*1.16</f>
        <v>56838.84</v>
      </c>
      <c r="G230" s="83">
        <f t="shared" ref="G230:G237" si="44">F230*E230</f>
        <v>113677.68</v>
      </c>
      <c r="H230" s="96"/>
      <c r="I230" s="231"/>
      <c r="J230" s="81"/>
      <c r="K230" s="81"/>
      <c r="L230" s="81"/>
      <c r="M230" s="81"/>
      <c r="N230" s="81"/>
      <c r="O230" s="81"/>
      <c r="P230" s="81"/>
      <c r="Q230" s="20"/>
      <c r="R230" s="20">
        <f t="shared" si="38"/>
        <v>0</v>
      </c>
      <c r="S230" s="81"/>
      <c r="T230" s="52">
        <f t="shared" si="40"/>
        <v>2</v>
      </c>
      <c r="U230" s="236">
        <f t="shared" si="43"/>
        <v>113677.68</v>
      </c>
      <c r="V230" s="114">
        <f t="shared" si="39"/>
        <v>0</v>
      </c>
      <c r="W230" s="122"/>
      <c r="X230" s="123"/>
      <c r="Y230" s="125"/>
      <c r="Z230" s="123"/>
      <c r="AA230" s="123"/>
      <c r="AB230" s="123"/>
    </row>
    <row r="231" spans="1:28" s="89" customFormat="1" ht="16.5" customHeight="1" x14ac:dyDescent="0.3">
      <c r="A231" s="131" t="s">
        <v>68</v>
      </c>
      <c r="B231" s="81"/>
      <c r="C231" s="81">
        <v>10</v>
      </c>
      <c r="D231" s="81">
        <v>6</v>
      </c>
      <c r="E231" s="59">
        <v>10</v>
      </c>
      <c r="F231" s="97">
        <f>8886*1.16</f>
        <v>10307.759999999998</v>
      </c>
      <c r="G231" s="83">
        <f t="shared" si="44"/>
        <v>103077.59999999998</v>
      </c>
      <c r="H231" s="96"/>
      <c r="I231" s="231"/>
      <c r="J231" s="81"/>
      <c r="K231" s="81"/>
      <c r="L231" s="81"/>
      <c r="M231" s="81"/>
      <c r="N231" s="81"/>
      <c r="O231" s="81"/>
      <c r="P231" s="81"/>
      <c r="Q231" s="20"/>
      <c r="R231" s="20">
        <f t="shared" si="38"/>
        <v>0</v>
      </c>
      <c r="S231" s="81"/>
      <c r="T231" s="52">
        <f t="shared" si="40"/>
        <v>10</v>
      </c>
      <c r="U231" s="236">
        <f t="shared" si="43"/>
        <v>103077.59999999998</v>
      </c>
      <c r="V231" s="114">
        <f t="shared" si="39"/>
        <v>0</v>
      </c>
      <c r="W231" s="122"/>
      <c r="X231" s="123"/>
      <c r="Y231" s="125"/>
      <c r="Z231" s="123"/>
      <c r="AA231" s="123"/>
      <c r="AB231" s="123"/>
    </row>
    <row r="232" spans="1:28" s="89" customFormat="1" ht="18.75" customHeight="1" x14ac:dyDescent="0.3">
      <c r="A232" s="131" t="s">
        <v>69</v>
      </c>
      <c r="B232" s="81"/>
      <c r="C232" s="81">
        <v>10</v>
      </c>
      <c r="D232" s="81">
        <v>3</v>
      </c>
      <c r="E232" s="59">
        <v>7</v>
      </c>
      <c r="F232" s="97">
        <f>100709*1.16</f>
        <v>116822.43999999999</v>
      </c>
      <c r="G232" s="83">
        <f>Q232*E232</f>
        <v>817757.08</v>
      </c>
      <c r="H232" s="96"/>
      <c r="I232" s="231"/>
      <c r="J232" s="81"/>
      <c r="K232" s="81">
        <v>3</v>
      </c>
      <c r="L232" s="81"/>
      <c r="M232" s="81"/>
      <c r="N232" s="81"/>
      <c r="O232" s="81"/>
      <c r="P232" s="41">
        <f>SUBTOTAL(9,I232:O232)</f>
        <v>3</v>
      </c>
      <c r="Q232" s="97">
        <f>100709*1.16</f>
        <v>116822.43999999999</v>
      </c>
      <c r="R232" s="20">
        <f>+Q232*P232</f>
        <v>350467.31999999995</v>
      </c>
      <c r="S232" s="81"/>
      <c r="T232" s="52">
        <f t="shared" si="40"/>
        <v>10</v>
      </c>
      <c r="U232" s="236">
        <f t="shared" si="43"/>
        <v>1168224.3999999999</v>
      </c>
      <c r="V232" s="114">
        <f t="shared" si="39"/>
        <v>0</v>
      </c>
      <c r="W232" s="122"/>
      <c r="X232" s="123"/>
      <c r="Y232" s="125"/>
      <c r="Z232" s="123"/>
      <c r="AA232" s="123"/>
      <c r="AB232" s="123"/>
    </row>
    <row r="233" spans="1:28" s="89" customFormat="1" ht="16.5" customHeight="1" x14ac:dyDescent="0.3">
      <c r="A233" s="131" t="s">
        <v>225</v>
      </c>
      <c r="B233" s="81"/>
      <c r="C233" s="81">
        <v>1</v>
      </c>
      <c r="D233" s="81">
        <v>0</v>
      </c>
      <c r="E233" s="59">
        <v>1</v>
      </c>
      <c r="F233" s="97">
        <f>8447*1.16</f>
        <v>9798.5199999999986</v>
      </c>
      <c r="G233" s="83">
        <f t="shared" si="44"/>
        <v>9798.5199999999986</v>
      </c>
      <c r="H233" s="96"/>
      <c r="I233" s="231"/>
      <c r="J233" s="81"/>
      <c r="K233" s="81"/>
      <c r="L233" s="81"/>
      <c r="M233" s="81"/>
      <c r="N233" s="81"/>
      <c r="O233" s="81"/>
      <c r="P233" s="81"/>
      <c r="Q233" s="20"/>
      <c r="R233" s="20">
        <f t="shared" si="38"/>
        <v>0</v>
      </c>
      <c r="S233" s="81"/>
      <c r="T233" s="52">
        <f t="shared" si="40"/>
        <v>1</v>
      </c>
      <c r="U233" s="236">
        <f t="shared" si="43"/>
        <v>9798.5199999999986</v>
      </c>
      <c r="V233" s="114">
        <f t="shared" si="39"/>
        <v>0</v>
      </c>
      <c r="W233" s="122"/>
      <c r="X233" s="123"/>
      <c r="Y233" s="125"/>
      <c r="Z233" s="123"/>
      <c r="AA233" s="123"/>
      <c r="AB233" s="123"/>
    </row>
    <row r="234" spans="1:28" s="89" customFormat="1" ht="18.75" customHeight="1" x14ac:dyDescent="0.3">
      <c r="A234" s="131" t="s">
        <v>272</v>
      </c>
      <c r="B234" s="81"/>
      <c r="C234" s="81"/>
      <c r="D234" s="81"/>
      <c r="E234" s="59"/>
      <c r="F234" s="97"/>
      <c r="G234" s="83">
        <f t="shared" si="44"/>
        <v>0</v>
      </c>
      <c r="H234" s="96"/>
      <c r="I234" s="231"/>
      <c r="J234" s="81"/>
      <c r="K234" s="81">
        <v>2</v>
      </c>
      <c r="L234" s="81"/>
      <c r="M234" s="81"/>
      <c r="N234" s="81"/>
      <c r="O234" s="81"/>
      <c r="P234" s="41">
        <f>SUBTOTAL(9,I234:O234)</f>
        <v>2</v>
      </c>
      <c r="Q234" s="20">
        <f>1583965.51*1.16</f>
        <v>1837399.9915999998</v>
      </c>
      <c r="R234" s="20">
        <f t="shared" si="38"/>
        <v>3674799.9831999997</v>
      </c>
      <c r="S234" s="81">
        <v>0</v>
      </c>
      <c r="T234" s="52">
        <f t="shared" si="40"/>
        <v>2</v>
      </c>
      <c r="U234" s="236">
        <f t="shared" si="41"/>
        <v>3674799.9831999997</v>
      </c>
      <c r="V234" s="114">
        <f t="shared" si="39"/>
        <v>0</v>
      </c>
      <c r="W234" s="122"/>
      <c r="X234" s="123"/>
      <c r="Y234" s="125"/>
      <c r="Z234" s="123"/>
      <c r="AA234" s="123"/>
      <c r="AB234" s="123"/>
    </row>
    <row r="235" spans="1:28" s="89" customFormat="1" ht="18.75" customHeight="1" x14ac:dyDescent="0.3">
      <c r="A235" s="131" t="s">
        <v>70</v>
      </c>
      <c r="B235" s="81"/>
      <c r="C235" s="81">
        <v>2</v>
      </c>
      <c r="D235" s="81">
        <v>2</v>
      </c>
      <c r="E235" s="59">
        <v>2</v>
      </c>
      <c r="F235" s="97">
        <f>33174*1.16</f>
        <v>38481.839999999997</v>
      </c>
      <c r="G235" s="83">
        <f t="shared" si="44"/>
        <v>76963.679999999993</v>
      </c>
      <c r="H235" s="96"/>
      <c r="I235" s="231"/>
      <c r="J235" s="81"/>
      <c r="K235" s="81">
        <v>1</v>
      </c>
      <c r="L235" s="81"/>
      <c r="M235" s="81"/>
      <c r="N235" s="81"/>
      <c r="O235" s="81"/>
      <c r="P235" s="41">
        <f>SUBTOTAL(9,I235:O235)</f>
        <v>1</v>
      </c>
      <c r="Q235" s="97">
        <f>33174*1.16</f>
        <v>38481.839999999997</v>
      </c>
      <c r="R235" s="20">
        <f t="shared" si="38"/>
        <v>38481.839999999997</v>
      </c>
      <c r="S235" s="81"/>
      <c r="T235" s="52">
        <f t="shared" si="40"/>
        <v>3</v>
      </c>
      <c r="U235" s="232">
        <f t="shared" si="41"/>
        <v>115445.51999999999</v>
      </c>
      <c r="V235" s="114">
        <f t="shared" si="39"/>
        <v>0</v>
      </c>
      <c r="W235" s="122"/>
      <c r="X235" s="123"/>
      <c r="Y235" s="125"/>
      <c r="Z235" s="123"/>
      <c r="AA235" s="123"/>
      <c r="AB235" s="123"/>
    </row>
    <row r="236" spans="1:28" s="89" customFormat="1" ht="18.75" customHeight="1" x14ac:dyDescent="0.3">
      <c r="A236" s="131" t="s">
        <v>409</v>
      </c>
      <c r="B236" s="81"/>
      <c r="C236" s="81">
        <v>2</v>
      </c>
      <c r="D236" s="81">
        <v>0</v>
      </c>
      <c r="E236" s="59">
        <v>2</v>
      </c>
      <c r="F236" s="97">
        <f>22946*1.16</f>
        <v>26617.359999999997</v>
      </c>
      <c r="G236" s="83">
        <f t="shared" si="44"/>
        <v>53234.719999999994</v>
      </c>
      <c r="H236" s="96"/>
      <c r="I236" s="231"/>
      <c r="J236" s="81"/>
      <c r="K236" s="81"/>
      <c r="L236" s="81"/>
      <c r="M236" s="81"/>
      <c r="N236" s="81"/>
      <c r="O236" s="81"/>
      <c r="P236" s="81"/>
      <c r="Q236" s="97"/>
      <c r="R236" s="20"/>
      <c r="S236" s="81"/>
      <c r="T236" s="52">
        <f t="shared" si="40"/>
        <v>2</v>
      </c>
      <c r="U236" s="236">
        <f>+T236*F236</f>
        <v>53234.719999999994</v>
      </c>
      <c r="V236" s="114">
        <f t="shared" si="39"/>
        <v>0</v>
      </c>
      <c r="W236" s="122"/>
      <c r="X236" s="123"/>
      <c r="Y236" s="125"/>
      <c r="Z236" s="123"/>
      <c r="AA236" s="123"/>
      <c r="AB236" s="123"/>
    </row>
    <row r="237" spans="1:28" s="89" customFormat="1" ht="18.75" customHeight="1" x14ac:dyDescent="0.3">
      <c r="A237" s="131" t="s">
        <v>226</v>
      </c>
      <c r="B237" s="81"/>
      <c r="C237" s="81">
        <v>8</v>
      </c>
      <c r="D237" s="81">
        <v>8</v>
      </c>
      <c r="E237" s="59">
        <v>8</v>
      </c>
      <c r="F237" s="97">
        <f>114051*1.16</f>
        <v>132299.16</v>
      </c>
      <c r="G237" s="83">
        <f t="shared" si="44"/>
        <v>1058393.28</v>
      </c>
      <c r="H237" s="96"/>
      <c r="I237" s="231"/>
      <c r="J237" s="81"/>
      <c r="K237" s="81">
        <v>3</v>
      </c>
      <c r="L237" s="81"/>
      <c r="M237" s="81"/>
      <c r="N237" s="81"/>
      <c r="O237" s="81"/>
      <c r="P237" s="41">
        <f>SUBTOTAL(9,I237:O237)</f>
        <v>3</v>
      </c>
      <c r="Q237" s="97">
        <f>114051*1.16</f>
        <v>132299.16</v>
      </c>
      <c r="R237" s="20">
        <f t="shared" si="38"/>
        <v>396897.48</v>
      </c>
      <c r="S237" s="81"/>
      <c r="T237" s="52">
        <f t="shared" si="40"/>
        <v>11</v>
      </c>
      <c r="U237" s="236">
        <f t="shared" si="41"/>
        <v>1455290.76</v>
      </c>
      <c r="V237" s="114">
        <f t="shared" si="39"/>
        <v>0</v>
      </c>
      <c r="W237" s="122"/>
      <c r="X237" s="123"/>
      <c r="Y237" s="125"/>
      <c r="Z237" s="123"/>
      <c r="AA237" s="123"/>
      <c r="AB237" s="123"/>
    </row>
    <row r="238" spans="1:28" s="89" customFormat="1" ht="18.75" customHeight="1" x14ac:dyDescent="0.3">
      <c r="A238" s="131" t="s">
        <v>71</v>
      </c>
      <c r="B238" s="81"/>
      <c r="C238" s="81">
        <v>5</v>
      </c>
      <c r="D238" s="81">
        <v>2</v>
      </c>
      <c r="E238" s="59">
        <v>5</v>
      </c>
      <c r="F238" s="97">
        <f>16024*1.16</f>
        <v>18587.84</v>
      </c>
      <c r="G238" s="83">
        <f>E238*F238</f>
        <v>92939.199999999997</v>
      </c>
      <c r="H238" s="96"/>
      <c r="I238" s="231"/>
      <c r="J238" s="81"/>
      <c r="K238" s="81">
        <v>1</v>
      </c>
      <c r="L238" s="81"/>
      <c r="M238" s="81"/>
      <c r="N238" s="81"/>
      <c r="O238" s="81"/>
      <c r="P238" s="41">
        <f>SUBTOTAL(9,I238:O238)</f>
        <v>1</v>
      </c>
      <c r="Q238" s="97">
        <f>16024*1.16</f>
        <v>18587.84</v>
      </c>
      <c r="R238" s="20">
        <f t="shared" si="38"/>
        <v>18587.84</v>
      </c>
      <c r="S238" s="81"/>
      <c r="T238" s="52">
        <f t="shared" si="40"/>
        <v>6</v>
      </c>
      <c r="U238" s="236">
        <f t="shared" si="41"/>
        <v>111527.03999999999</v>
      </c>
      <c r="V238" s="114">
        <f t="shared" si="39"/>
        <v>0</v>
      </c>
      <c r="W238" s="122"/>
      <c r="X238" s="123"/>
      <c r="Y238" s="125"/>
      <c r="Z238" s="123"/>
      <c r="AA238" s="123"/>
      <c r="AB238" s="123"/>
    </row>
    <row r="239" spans="1:28" s="89" customFormat="1" ht="18.75" customHeight="1" x14ac:dyDescent="0.3">
      <c r="A239" s="131" t="s">
        <v>227</v>
      </c>
      <c r="B239" s="81"/>
      <c r="C239" s="81">
        <v>1</v>
      </c>
      <c r="D239" s="81">
        <v>0</v>
      </c>
      <c r="E239" s="59">
        <v>1</v>
      </c>
      <c r="F239" s="97">
        <f>53546*1.16</f>
        <v>62113.359999999993</v>
      </c>
      <c r="G239" s="83">
        <f>E239*F239</f>
        <v>62113.359999999993</v>
      </c>
      <c r="H239" s="96"/>
      <c r="I239" s="231"/>
      <c r="J239" s="81"/>
      <c r="K239" s="81">
        <v>1</v>
      </c>
      <c r="L239" s="81"/>
      <c r="M239" s="81"/>
      <c r="N239" s="81"/>
      <c r="O239" s="81"/>
      <c r="P239" s="41">
        <f>SUBTOTAL(9,I239:O239)</f>
        <v>1</v>
      </c>
      <c r="Q239" s="97">
        <f>53546*1.16</f>
        <v>62113.359999999993</v>
      </c>
      <c r="R239" s="20">
        <f t="shared" si="38"/>
        <v>62113.359999999993</v>
      </c>
      <c r="S239" s="81"/>
      <c r="T239" s="52">
        <f t="shared" si="40"/>
        <v>2</v>
      </c>
      <c r="U239" s="236">
        <f t="shared" si="41"/>
        <v>124226.71999999999</v>
      </c>
      <c r="V239" s="114">
        <f t="shared" si="39"/>
        <v>0</v>
      </c>
      <c r="W239" s="122"/>
      <c r="X239" s="123"/>
      <c r="Y239" s="125"/>
      <c r="Z239" s="123"/>
      <c r="AA239" s="123"/>
      <c r="AB239" s="123"/>
    </row>
    <row r="240" spans="1:28" s="89" customFormat="1" ht="18.75" customHeight="1" x14ac:dyDescent="0.3">
      <c r="A240" s="131" t="s">
        <v>398</v>
      </c>
      <c r="B240" s="81"/>
      <c r="C240" s="81">
        <v>20</v>
      </c>
      <c r="D240" s="81">
        <v>20</v>
      </c>
      <c r="E240" s="59">
        <v>20</v>
      </c>
      <c r="F240" s="97">
        <f>37932*1.16</f>
        <v>44001.119999999995</v>
      </c>
      <c r="G240" s="83">
        <f>E240*F240</f>
        <v>880022.39999999991</v>
      </c>
      <c r="H240" s="96"/>
      <c r="I240" s="231"/>
      <c r="J240" s="81"/>
      <c r="K240" s="81">
        <v>5</v>
      </c>
      <c r="L240" s="81"/>
      <c r="M240" s="81"/>
      <c r="N240" s="81"/>
      <c r="O240" s="81"/>
      <c r="P240" s="41">
        <f>SUBTOTAL(9,I240:O240)</f>
        <v>5</v>
      </c>
      <c r="Q240" s="97">
        <f>37932*1.16</f>
        <v>44001.119999999995</v>
      </c>
      <c r="R240" s="20">
        <f>+Q240*P240</f>
        <v>220005.59999999998</v>
      </c>
      <c r="S240" s="81"/>
      <c r="T240" s="52">
        <f t="shared" si="40"/>
        <v>25</v>
      </c>
      <c r="U240" s="236">
        <f t="shared" si="41"/>
        <v>1100028</v>
      </c>
      <c r="V240" s="114">
        <f t="shared" si="39"/>
        <v>0</v>
      </c>
      <c r="W240" s="122"/>
      <c r="X240" s="123"/>
      <c r="Y240" s="125"/>
      <c r="Z240" s="123"/>
      <c r="AA240" s="123"/>
      <c r="AB240" s="123"/>
    </row>
    <row r="241" spans="1:28" s="89" customFormat="1" ht="18.75" customHeight="1" x14ac:dyDescent="0.3">
      <c r="A241" s="131" t="s">
        <v>72</v>
      </c>
      <c r="B241" s="81"/>
      <c r="C241" s="81">
        <v>5</v>
      </c>
      <c r="D241" s="81">
        <v>1</v>
      </c>
      <c r="E241" s="59">
        <v>5</v>
      </c>
      <c r="F241" s="97">
        <f>16699*1.16</f>
        <v>19370.84</v>
      </c>
      <c r="G241" s="83">
        <f>+F241*E241</f>
        <v>96854.2</v>
      </c>
      <c r="H241" s="96"/>
      <c r="I241" s="231"/>
      <c r="J241" s="81"/>
      <c r="K241" s="81"/>
      <c r="L241" s="81"/>
      <c r="M241" s="81"/>
      <c r="N241" s="81"/>
      <c r="O241" s="81"/>
      <c r="P241" s="81"/>
      <c r="Q241" s="97"/>
      <c r="R241" s="20">
        <f t="shared" ref="R241:R296" si="45">+Q241*P241</f>
        <v>0</v>
      </c>
      <c r="S241" s="81"/>
      <c r="T241" s="52">
        <f t="shared" si="40"/>
        <v>5</v>
      </c>
      <c r="U241" s="236">
        <f>+T241*F241</f>
        <v>96854.2</v>
      </c>
      <c r="V241" s="114">
        <f t="shared" si="39"/>
        <v>0</v>
      </c>
      <c r="W241" s="122"/>
      <c r="X241" s="123"/>
      <c r="Y241" s="125"/>
      <c r="Z241" s="123"/>
      <c r="AA241" s="123"/>
      <c r="AB241" s="123"/>
    </row>
    <row r="242" spans="1:28" s="89" customFormat="1" ht="16.5" customHeight="1" x14ac:dyDescent="0.3">
      <c r="A242" s="131" t="s">
        <v>228</v>
      </c>
      <c r="B242" s="81"/>
      <c r="C242" s="81">
        <v>2</v>
      </c>
      <c r="D242" s="81">
        <v>1</v>
      </c>
      <c r="E242" s="59">
        <v>2</v>
      </c>
      <c r="F242" s="97">
        <f>67036*1.16</f>
        <v>77761.759999999995</v>
      </c>
      <c r="G242" s="83">
        <f t="shared" ref="G242:G263" si="46">E242*F242</f>
        <v>155523.51999999999</v>
      </c>
      <c r="H242" s="96"/>
      <c r="I242" s="231"/>
      <c r="J242" s="81"/>
      <c r="K242" s="81"/>
      <c r="L242" s="81"/>
      <c r="M242" s="81"/>
      <c r="N242" s="81"/>
      <c r="O242" s="81"/>
      <c r="P242" s="81"/>
      <c r="Q242" s="20"/>
      <c r="R242" s="20">
        <f t="shared" si="45"/>
        <v>0</v>
      </c>
      <c r="S242" s="81"/>
      <c r="T242" s="52">
        <f t="shared" si="40"/>
        <v>2</v>
      </c>
      <c r="U242" s="236">
        <f>+T242*F242</f>
        <v>155523.51999999999</v>
      </c>
      <c r="V242" s="114">
        <f t="shared" si="39"/>
        <v>0</v>
      </c>
      <c r="W242" s="122"/>
      <c r="X242" s="123"/>
      <c r="Y242" s="125"/>
      <c r="Z242" s="123"/>
      <c r="AA242" s="123"/>
      <c r="AB242" s="123"/>
    </row>
    <row r="243" spans="1:28" s="89" customFormat="1" ht="16.5" customHeight="1" x14ac:dyDescent="0.3">
      <c r="A243" s="131" t="s">
        <v>399</v>
      </c>
      <c r="B243" s="81"/>
      <c r="C243" s="81">
        <v>4</v>
      </c>
      <c r="D243" s="81">
        <v>4</v>
      </c>
      <c r="E243" s="59">
        <v>4</v>
      </c>
      <c r="F243" s="97">
        <f>9901*1.16</f>
        <v>11485.16</v>
      </c>
      <c r="G243" s="83">
        <f t="shared" si="46"/>
        <v>45940.639999999999</v>
      </c>
      <c r="H243" s="96"/>
      <c r="I243" s="231"/>
      <c r="J243" s="81"/>
      <c r="K243" s="81"/>
      <c r="L243" s="81"/>
      <c r="M243" s="81"/>
      <c r="N243" s="81"/>
      <c r="O243" s="81"/>
      <c r="P243" s="81"/>
      <c r="Q243" s="20"/>
      <c r="R243" s="20">
        <f t="shared" si="45"/>
        <v>0</v>
      </c>
      <c r="S243" s="81"/>
      <c r="T243" s="52">
        <f t="shared" si="40"/>
        <v>4</v>
      </c>
      <c r="U243" s="236">
        <f>+T243*F243</f>
        <v>45940.639999999999</v>
      </c>
      <c r="V243" s="114">
        <f t="shared" si="39"/>
        <v>0</v>
      </c>
      <c r="W243" s="122"/>
      <c r="X243" s="123"/>
      <c r="Y243" s="125"/>
      <c r="Z243" s="123"/>
      <c r="AA243" s="123"/>
      <c r="AB243" s="123"/>
    </row>
    <row r="244" spans="1:28" s="89" customFormat="1" ht="16.5" customHeight="1" x14ac:dyDescent="0.3">
      <c r="A244" s="131" t="s">
        <v>229</v>
      </c>
      <c r="B244" s="81"/>
      <c r="C244" s="81">
        <v>5</v>
      </c>
      <c r="D244" s="81">
        <v>2</v>
      </c>
      <c r="E244" s="59">
        <v>5</v>
      </c>
      <c r="F244" s="97">
        <f>3521*1.16</f>
        <v>4084.3599999999997</v>
      </c>
      <c r="G244" s="83">
        <f t="shared" si="46"/>
        <v>20421.8</v>
      </c>
      <c r="H244" s="96"/>
      <c r="I244" s="231"/>
      <c r="J244" s="81"/>
      <c r="K244" s="81"/>
      <c r="L244" s="81"/>
      <c r="M244" s="81"/>
      <c r="N244" s="81"/>
      <c r="O244" s="81"/>
      <c r="P244" s="81"/>
      <c r="Q244" s="20"/>
      <c r="R244" s="20">
        <f t="shared" si="45"/>
        <v>0</v>
      </c>
      <c r="S244" s="81"/>
      <c r="T244" s="52">
        <f t="shared" si="40"/>
        <v>5</v>
      </c>
      <c r="U244" s="236">
        <f>+T244*F244</f>
        <v>20421.8</v>
      </c>
      <c r="V244" s="114">
        <f t="shared" si="39"/>
        <v>0</v>
      </c>
      <c r="W244" s="122"/>
      <c r="X244" s="123"/>
      <c r="Y244" s="125"/>
      <c r="Z244" s="123"/>
      <c r="AA244" s="123"/>
      <c r="AB244" s="123"/>
    </row>
    <row r="245" spans="1:28" s="89" customFormat="1" ht="18.75" customHeight="1" x14ac:dyDescent="0.3">
      <c r="A245" s="131" t="s">
        <v>230</v>
      </c>
      <c r="B245" s="81"/>
      <c r="C245" s="81">
        <v>20</v>
      </c>
      <c r="D245" s="81">
        <v>0</v>
      </c>
      <c r="E245" s="59">
        <v>20</v>
      </c>
      <c r="F245" s="97">
        <f>17923*1.16</f>
        <v>20790.68</v>
      </c>
      <c r="G245" s="83">
        <f t="shared" si="46"/>
        <v>415813.6</v>
      </c>
      <c r="H245" s="96"/>
      <c r="I245" s="231"/>
      <c r="J245" s="81"/>
      <c r="K245" s="81">
        <v>10</v>
      </c>
      <c r="L245" s="81"/>
      <c r="M245" s="81"/>
      <c r="N245" s="81"/>
      <c r="O245" s="81"/>
      <c r="P245" s="41">
        <f>SUBTOTAL(9,I245:O245)</f>
        <v>10</v>
      </c>
      <c r="Q245" s="97">
        <f>17923*1.16</f>
        <v>20790.68</v>
      </c>
      <c r="R245" s="20">
        <f t="shared" si="45"/>
        <v>207906.8</v>
      </c>
      <c r="S245" s="81"/>
      <c r="T245" s="52">
        <f t="shared" si="40"/>
        <v>30</v>
      </c>
      <c r="U245" s="236">
        <f t="shared" si="41"/>
        <v>623720.39999999991</v>
      </c>
      <c r="V245" s="114">
        <f t="shared" si="39"/>
        <v>0</v>
      </c>
      <c r="W245" s="122"/>
      <c r="X245" s="123"/>
      <c r="Y245" s="125"/>
      <c r="Z245" s="123"/>
      <c r="AA245" s="123"/>
      <c r="AB245" s="123"/>
    </row>
    <row r="246" spans="1:28" s="89" customFormat="1" ht="16.5" customHeight="1" x14ac:dyDescent="0.3">
      <c r="A246" s="131" t="s">
        <v>73</v>
      </c>
      <c r="B246" s="81"/>
      <c r="C246" s="81">
        <v>2</v>
      </c>
      <c r="D246" s="81">
        <v>2</v>
      </c>
      <c r="E246" s="59">
        <v>2</v>
      </c>
      <c r="F246" s="97">
        <f>10663*1.16</f>
        <v>12369.08</v>
      </c>
      <c r="G246" s="83">
        <f t="shared" si="46"/>
        <v>24738.16</v>
      </c>
      <c r="H246" s="96"/>
      <c r="I246" s="231"/>
      <c r="J246" s="81"/>
      <c r="K246" s="81"/>
      <c r="L246" s="81"/>
      <c r="M246" s="81"/>
      <c r="N246" s="81"/>
      <c r="O246" s="81"/>
      <c r="P246" s="81"/>
      <c r="Q246" s="20"/>
      <c r="R246" s="20">
        <f t="shared" si="45"/>
        <v>0</v>
      </c>
      <c r="S246" s="81"/>
      <c r="T246" s="52">
        <f t="shared" si="40"/>
        <v>2</v>
      </c>
      <c r="U246" s="236">
        <f>+T246*F246</f>
        <v>24738.16</v>
      </c>
      <c r="V246" s="114">
        <f t="shared" si="39"/>
        <v>0</v>
      </c>
      <c r="W246" s="122"/>
      <c r="X246" s="123"/>
      <c r="Y246" s="125"/>
      <c r="Z246" s="123"/>
      <c r="AA246" s="123"/>
      <c r="AB246" s="123"/>
    </row>
    <row r="247" spans="1:28" s="89" customFormat="1" ht="16.5" customHeight="1" x14ac:dyDescent="0.3">
      <c r="A247" s="131" t="s">
        <v>168</v>
      </c>
      <c r="B247" s="81"/>
      <c r="C247" s="81">
        <v>12</v>
      </c>
      <c r="D247" s="81">
        <v>0</v>
      </c>
      <c r="E247" s="59">
        <v>12</v>
      </c>
      <c r="F247" s="97">
        <f>10897*1.16</f>
        <v>12640.519999999999</v>
      </c>
      <c r="G247" s="83">
        <f t="shared" si="46"/>
        <v>151686.24</v>
      </c>
      <c r="H247" s="96"/>
      <c r="I247" s="231"/>
      <c r="J247" s="81"/>
      <c r="K247" s="81"/>
      <c r="L247" s="81"/>
      <c r="M247" s="81"/>
      <c r="N247" s="81"/>
      <c r="O247" s="81"/>
      <c r="P247" s="81"/>
      <c r="Q247" s="20"/>
      <c r="R247" s="20">
        <f t="shared" si="45"/>
        <v>0</v>
      </c>
      <c r="S247" s="81"/>
      <c r="T247" s="52">
        <f t="shared" si="40"/>
        <v>12</v>
      </c>
      <c r="U247" s="236">
        <f>+T247*F247</f>
        <v>151686.24</v>
      </c>
      <c r="V247" s="114">
        <f t="shared" si="39"/>
        <v>0</v>
      </c>
      <c r="W247" s="122"/>
      <c r="X247" s="123"/>
      <c r="Y247" s="125"/>
      <c r="Z247" s="123"/>
      <c r="AA247" s="123"/>
      <c r="AB247" s="123"/>
    </row>
    <row r="248" spans="1:28" s="89" customFormat="1" ht="18.75" customHeight="1" x14ac:dyDescent="0.3">
      <c r="A248" s="131" t="s">
        <v>231</v>
      </c>
      <c r="B248" s="81"/>
      <c r="C248" s="81">
        <v>60</v>
      </c>
      <c r="D248" s="81">
        <v>58</v>
      </c>
      <c r="E248" s="59">
        <v>60</v>
      </c>
      <c r="F248" s="97">
        <f>4100*1.16</f>
        <v>4756</v>
      </c>
      <c r="G248" s="83">
        <f t="shared" si="46"/>
        <v>285360</v>
      </c>
      <c r="H248" s="96"/>
      <c r="I248" s="231"/>
      <c r="J248" s="81"/>
      <c r="K248" s="81"/>
      <c r="L248" s="81"/>
      <c r="M248" s="81"/>
      <c r="N248" s="81"/>
      <c r="O248" s="81"/>
      <c r="P248" s="81"/>
      <c r="Q248" s="97"/>
      <c r="R248" s="20">
        <f t="shared" si="45"/>
        <v>0</v>
      </c>
      <c r="S248" s="81"/>
      <c r="T248" s="52">
        <f t="shared" si="40"/>
        <v>60</v>
      </c>
      <c r="U248" s="236">
        <f t="shared" si="41"/>
        <v>285360</v>
      </c>
      <c r="V248" s="114">
        <f t="shared" si="39"/>
        <v>0</v>
      </c>
      <c r="W248" s="122"/>
      <c r="X248" s="123"/>
      <c r="Y248" s="125"/>
      <c r="Z248" s="123"/>
      <c r="AA248" s="123"/>
      <c r="AB248" s="123"/>
    </row>
    <row r="249" spans="1:28" s="89" customFormat="1" ht="18.75" customHeight="1" x14ac:dyDescent="0.3">
      <c r="A249" s="131" t="s">
        <v>232</v>
      </c>
      <c r="B249" s="81"/>
      <c r="C249" s="81">
        <v>1</v>
      </c>
      <c r="D249" s="81">
        <v>1</v>
      </c>
      <c r="E249" s="59">
        <v>1</v>
      </c>
      <c r="F249" s="97">
        <f>164741*1.16</f>
        <v>191099.56</v>
      </c>
      <c r="G249" s="83">
        <f t="shared" si="46"/>
        <v>191099.56</v>
      </c>
      <c r="H249" s="96"/>
      <c r="I249" s="231"/>
      <c r="J249" s="81"/>
      <c r="K249" s="133"/>
      <c r="L249" s="81"/>
      <c r="M249" s="81"/>
      <c r="N249" s="81"/>
      <c r="O249" s="81"/>
      <c r="P249" s="133"/>
      <c r="Q249" s="20"/>
      <c r="R249" s="20">
        <f t="shared" si="45"/>
        <v>0</v>
      </c>
      <c r="S249" s="81"/>
      <c r="T249" s="52">
        <f t="shared" si="40"/>
        <v>1</v>
      </c>
      <c r="U249" s="236">
        <f>+R249+G249</f>
        <v>191099.56</v>
      </c>
      <c r="V249" s="114">
        <f t="shared" si="39"/>
        <v>0</v>
      </c>
      <c r="W249" s="122"/>
      <c r="X249" s="123"/>
      <c r="Y249" s="125"/>
      <c r="Z249" s="123"/>
      <c r="AA249" s="123"/>
      <c r="AB249" s="123"/>
    </row>
    <row r="250" spans="1:28" s="89" customFormat="1" ht="18.75" customHeight="1" x14ac:dyDescent="0.3">
      <c r="A250" s="131" t="s">
        <v>410</v>
      </c>
      <c r="B250" s="81"/>
      <c r="C250" s="81">
        <v>1</v>
      </c>
      <c r="D250" s="81">
        <v>0</v>
      </c>
      <c r="E250" s="59">
        <v>1</v>
      </c>
      <c r="F250" s="97">
        <f>50604*1.16</f>
        <v>58700.639999999999</v>
      </c>
      <c r="G250" s="83">
        <f t="shared" si="46"/>
        <v>58700.639999999999</v>
      </c>
      <c r="H250" s="96"/>
      <c r="I250" s="231"/>
      <c r="J250" s="81"/>
      <c r="K250" s="133"/>
      <c r="L250" s="81"/>
      <c r="M250" s="81"/>
      <c r="N250" s="81"/>
      <c r="O250" s="81"/>
      <c r="P250" s="133"/>
      <c r="Q250" s="20"/>
      <c r="R250" s="20"/>
      <c r="S250" s="81"/>
      <c r="T250" s="52">
        <f t="shared" si="40"/>
        <v>1</v>
      </c>
      <c r="U250" s="236">
        <f>+T250*F250</f>
        <v>58700.639999999999</v>
      </c>
      <c r="V250" s="114">
        <f t="shared" si="39"/>
        <v>0</v>
      </c>
      <c r="W250" s="122"/>
      <c r="X250" s="123"/>
      <c r="Y250" s="125"/>
      <c r="Z250" s="123"/>
      <c r="AA250" s="123"/>
      <c r="AB250" s="123"/>
    </row>
    <row r="251" spans="1:28" s="89" customFormat="1" ht="16.5" customHeight="1" x14ac:dyDescent="0.3">
      <c r="A251" s="131" t="s">
        <v>74</v>
      </c>
      <c r="B251" s="81"/>
      <c r="C251" s="81">
        <v>20</v>
      </c>
      <c r="D251" s="81">
        <v>12</v>
      </c>
      <c r="E251" s="59">
        <v>20</v>
      </c>
      <c r="F251" s="97">
        <f>1540*1.16</f>
        <v>1786.3999999999999</v>
      </c>
      <c r="G251" s="83">
        <f t="shared" si="46"/>
        <v>35728</v>
      </c>
      <c r="H251" s="96"/>
      <c r="I251" s="231"/>
      <c r="J251" s="81"/>
      <c r="K251" s="133">
        <v>40</v>
      </c>
      <c r="L251" s="81"/>
      <c r="M251" s="81"/>
      <c r="N251" s="81"/>
      <c r="O251" s="81"/>
      <c r="P251" s="41">
        <f>SUBTOTAL(9,I251:O251)</f>
        <v>40</v>
      </c>
      <c r="Q251" s="97">
        <f>1540*1.16</f>
        <v>1786.3999999999999</v>
      </c>
      <c r="R251" s="20">
        <f>+Q251*P251</f>
        <v>71456</v>
      </c>
      <c r="S251" s="81">
        <v>0</v>
      </c>
      <c r="T251" s="52">
        <f t="shared" si="40"/>
        <v>60</v>
      </c>
      <c r="U251" s="236">
        <f>+R251+G251</f>
        <v>107184</v>
      </c>
      <c r="V251" s="114">
        <f t="shared" si="39"/>
        <v>0</v>
      </c>
      <c r="W251" s="122"/>
      <c r="X251" s="123"/>
      <c r="Y251" s="125"/>
      <c r="Z251" s="123"/>
      <c r="AA251" s="123"/>
      <c r="AB251" s="123"/>
    </row>
    <row r="252" spans="1:28" s="89" customFormat="1" ht="16.5" customHeight="1" x14ac:dyDescent="0.3">
      <c r="A252" s="131" t="s">
        <v>233</v>
      </c>
      <c r="B252" s="81"/>
      <c r="C252" s="81">
        <v>50</v>
      </c>
      <c r="D252" s="81">
        <v>59</v>
      </c>
      <c r="E252" s="59">
        <v>50</v>
      </c>
      <c r="F252" s="97">
        <f>1182*1.16</f>
        <v>1371.12</v>
      </c>
      <c r="G252" s="83">
        <f t="shared" si="46"/>
        <v>68556</v>
      </c>
      <c r="H252" s="96"/>
      <c r="I252" s="231"/>
      <c r="J252" s="81"/>
      <c r="K252" s="81"/>
      <c r="L252" s="81"/>
      <c r="M252" s="81"/>
      <c r="N252" s="81"/>
      <c r="O252" s="81"/>
      <c r="P252" s="81"/>
      <c r="Q252" s="20"/>
      <c r="R252" s="20">
        <f t="shared" si="45"/>
        <v>0</v>
      </c>
      <c r="S252" s="81"/>
      <c r="T252" s="52">
        <f t="shared" si="40"/>
        <v>50</v>
      </c>
      <c r="U252" s="236">
        <f>+T252*F252</f>
        <v>68556</v>
      </c>
      <c r="V252" s="114">
        <f t="shared" si="39"/>
        <v>0</v>
      </c>
      <c r="W252" s="122"/>
      <c r="X252" s="123"/>
      <c r="Y252" s="125"/>
      <c r="Z252" s="123"/>
      <c r="AA252" s="123"/>
      <c r="AB252" s="123"/>
    </row>
    <row r="253" spans="1:28" s="89" customFormat="1" ht="18.75" customHeight="1" x14ac:dyDescent="0.3">
      <c r="A253" s="131" t="s">
        <v>75</v>
      </c>
      <c r="B253" s="81"/>
      <c r="C253" s="81">
        <v>2</v>
      </c>
      <c r="D253" s="81">
        <v>1</v>
      </c>
      <c r="E253" s="59">
        <v>2</v>
      </c>
      <c r="F253" s="97">
        <f>38826*1.16</f>
        <v>45038.159999999996</v>
      </c>
      <c r="G253" s="83">
        <f t="shared" si="46"/>
        <v>90076.319999999992</v>
      </c>
      <c r="H253" s="96"/>
      <c r="I253" s="231"/>
      <c r="J253" s="81"/>
      <c r="K253" s="81">
        <v>1</v>
      </c>
      <c r="L253" s="81"/>
      <c r="M253" s="81"/>
      <c r="N253" s="81"/>
      <c r="O253" s="81"/>
      <c r="P253" s="41">
        <f>SUBTOTAL(9,I253:O253)</f>
        <v>1</v>
      </c>
      <c r="Q253" s="97">
        <f>38826*1.16</f>
        <v>45038.159999999996</v>
      </c>
      <c r="R253" s="20">
        <f t="shared" si="45"/>
        <v>45038.159999999996</v>
      </c>
      <c r="S253" s="81"/>
      <c r="T253" s="52">
        <f t="shared" si="40"/>
        <v>3</v>
      </c>
      <c r="U253" s="236">
        <f t="shared" si="41"/>
        <v>135114.47999999998</v>
      </c>
      <c r="V253" s="114">
        <f t="shared" si="39"/>
        <v>0</v>
      </c>
      <c r="W253" s="122"/>
      <c r="X253" s="123"/>
      <c r="Y253" s="125"/>
      <c r="Z253" s="123"/>
      <c r="AA253" s="123"/>
      <c r="AB253" s="123"/>
    </row>
    <row r="254" spans="1:28" s="89" customFormat="1" ht="18.75" customHeight="1" x14ac:dyDescent="0.3">
      <c r="A254" s="131" t="s">
        <v>400</v>
      </c>
      <c r="B254" s="81"/>
      <c r="C254" s="81">
        <v>1</v>
      </c>
      <c r="D254" s="81">
        <v>0</v>
      </c>
      <c r="E254" s="59">
        <v>1</v>
      </c>
      <c r="F254" s="97">
        <f>1364299*1.16</f>
        <v>1582586.8399999999</v>
      </c>
      <c r="G254" s="83">
        <f t="shared" si="46"/>
        <v>1582586.8399999999</v>
      </c>
      <c r="H254" s="96"/>
      <c r="I254" s="231"/>
      <c r="J254" s="81"/>
      <c r="K254" s="81"/>
      <c r="L254" s="81"/>
      <c r="M254" s="81"/>
      <c r="N254" s="81"/>
      <c r="O254" s="81"/>
      <c r="P254" s="81"/>
      <c r="Q254" s="20"/>
      <c r="R254" s="20"/>
      <c r="S254" s="81"/>
      <c r="T254" s="52">
        <f t="shared" si="40"/>
        <v>1</v>
      </c>
      <c r="U254" s="236">
        <f>+T254*F254</f>
        <v>1582586.8399999999</v>
      </c>
      <c r="V254" s="114">
        <f t="shared" si="39"/>
        <v>0</v>
      </c>
      <c r="W254" s="122"/>
      <c r="X254" s="123"/>
      <c r="Y254" s="125"/>
      <c r="Z254" s="123"/>
      <c r="AA254" s="123"/>
      <c r="AB254" s="123"/>
    </row>
    <row r="255" spans="1:28" s="89" customFormat="1" ht="18.75" customHeight="1" x14ac:dyDescent="0.3">
      <c r="A255" s="131" t="s">
        <v>234</v>
      </c>
      <c r="B255" s="81"/>
      <c r="C255" s="81">
        <v>50</v>
      </c>
      <c r="D255" s="81">
        <v>32</v>
      </c>
      <c r="E255" s="59">
        <v>50</v>
      </c>
      <c r="F255" s="97">
        <f>1604*1.16</f>
        <v>1860.6399999999999</v>
      </c>
      <c r="G255" s="83">
        <f t="shared" si="46"/>
        <v>93032</v>
      </c>
      <c r="H255" s="96"/>
      <c r="I255" s="231"/>
      <c r="J255" s="81"/>
      <c r="K255" s="81">
        <v>10</v>
      </c>
      <c r="L255" s="81"/>
      <c r="M255" s="81"/>
      <c r="N255" s="81"/>
      <c r="O255" s="81"/>
      <c r="P255" s="41">
        <f>SUBTOTAL(9,I255:O255)</f>
        <v>10</v>
      </c>
      <c r="Q255" s="97">
        <f>1604*1.16</f>
        <v>1860.6399999999999</v>
      </c>
      <c r="R255" s="20">
        <f t="shared" si="45"/>
        <v>18606.399999999998</v>
      </c>
      <c r="S255" s="81"/>
      <c r="T255" s="52">
        <f t="shared" si="40"/>
        <v>60</v>
      </c>
      <c r="U255" s="236">
        <f t="shared" si="41"/>
        <v>111638.39999999999</v>
      </c>
      <c r="V255" s="114">
        <f t="shared" si="39"/>
        <v>0</v>
      </c>
      <c r="W255" s="122"/>
      <c r="X255" s="123"/>
      <c r="Y255" s="125"/>
      <c r="Z255" s="123"/>
      <c r="AA255" s="123"/>
      <c r="AB255" s="123"/>
    </row>
    <row r="256" spans="1:28" s="89" customFormat="1" ht="18.75" customHeight="1" x14ac:dyDescent="0.3">
      <c r="A256" s="131" t="s">
        <v>235</v>
      </c>
      <c r="B256" s="81"/>
      <c r="C256" s="81">
        <v>10</v>
      </c>
      <c r="D256" s="81">
        <v>8</v>
      </c>
      <c r="E256" s="59">
        <v>10</v>
      </c>
      <c r="F256" s="97">
        <f>13485*1.16</f>
        <v>15642.599999999999</v>
      </c>
      <c r="G256" s="83">
        <f t="shared" si="46"/>
        <v>156426</v>
      </c>
      <c r="H256" s="96"/>
      <c r="I256" s="231"/>
      <c r="J256" s="81"/>
      <c r="K256" s="81">
        <v>5</v>
      </c>
      <c r="L256" s="81"/>
      <c r="M256" s="81"/>
      <c r="N256" s="81"/>
      <c r="O256" s="81"/>
      <c r="P256" s="41">
        <f>SUBTOTAL(9,I256:O256)</f>
        <v>5</v>
      </c>
      <c r="Q256" s="97">
        <f>13485*1.16</f>
        <v>15642.599999999999</v>
      </c>
      <c r="R256" s="20">
        <f>+Q256*P256</f>
        <v>78213</v>
      </c>
      <c r="S256" s="81">
        <v>0</v>
      </c>
      <c r="T256" s="52">
        <f t="shared" si="40"/>
        <v>15</v>
      </c>
      <c r="U256" s="236">
        <f t="shared" si="41"/>
        <v>234639</v>
      </c>
      <c r="V256" s="114">
        <f t="shared" si="39"/>
        <v>0</v>
      </c>
      <c r="W256" s="122"/>
      <c r="X256" s="123"/>
      <c r="Y256" s="125"/>
      <c r="Z256" s="123"/>
      <c r="AA256" s="123"/>
      <c r="AB256" s="123"/>
    </row>
    <row r="257" spans="1:28" s="89" customFormat="1" ht="18.75" customHeight="1" x14ac:dyDescent="0.3">
      <c r="A257" s="131" t="s">
        <v>236</v>
      </c>
      <c r="B257" s="81"/>
      <c r="C257" s="81">
        <v>7</v>
      </c>
      <c r="D257" s="81">
        <v>4</v>
      </c>
      <c r="E257" s="59">
        <v>7</v>
      </c>
      <c r="F257" s="97">
        <f>8508*1.16</f>
        <v>9869.2799999999988</v>
      </c>
      <c r="G257" s="83">
        <f t="shared" si="46"/>
        <v>69084.959999999992</v>
      </c>
      <c r="H257" s="96"/>
      <c r="I257" s="231"/>
      <c r="J257" s="81"/>
      <c r="K257" s="81">
        <v>5</v>
      </c>
      <c r="L257" s="81"/>
      <c r="M257" s="81"/>
      <c r="N257" s="81"/>
      <c r="O257" s="81"/>
      <c r="P257" s="41">
        <f>SUBTOTAL(9,I257:O257)</f>
        <v>5</v>
      </c>
      <c r="Q257" s="97">
        <f>8508*1.16</f>
        <v>9869.2799999999988</v>
      </c>
      <c r="R257" s="20">
        <f>+Q257*P257</f>
        <v>49346.399999999994</v>
      </c>
      <c r="S257" s="81"/>
      <c r="T257" s="52">
        <f t="shared" si="40"/>
        <v>12</v>
      </c>
      <c r="U257" s="236">
        <f t="shared" si="41"/>
        <v>118431.35999999999</v>
      </c>
      <c r="V257" s="114">
        <f t="shared" si="39"/>
        <v>0</v>
      </c>
      <c r="W257" s="122"/>
      <c r="X257" s="123"/>
      <c r="Y257" s="125"/>
      <c r="Z257" s="123"/>
      <c r="AA257" s="123"/>
      <c r="AB257" s="123"/>
    </row>
    <row r="258" spans="1:28" s="89" customFormat="1" ht="16.5" customHeight="1" x14ac:dyDescent="0.3">
      <c r="A258" s="131" t="s">
        <v>237</v>
      </c>
      <c r="B258" s="81"/>
      <c r="C258" s="81">
        <v>5</v>
      </c>
      <c r="D258" s="81">
        <v>20</v>
      </c>
      <c r="E258" s="59">
        <v>5</v>
      </c>
      <c r="F258" s="97">
        <f>5491*1.16</f>
        <v>6369.5599999999995</v>
      </c>
      <c r="G258" s="83">
        <f t="shared" si="46"/>
        <v>31847.799999999996</v>
      </c>
      <c r="H258" s="96"/>
      <c r="I258" s="231"/>
      <c r="J258" s="81"/>
      <c r="K258" s="81"/>
      <c r="L258" s="81"/>
      <c r="M258" s="81"/>
      <c r="N258" s="81"/>
      <c r="O258" s="81"/>
      <c r="P258" s="81"/>
      <c r="Q258" s="20"/>
      <c r="R258" s="20">
        <f t="shared" si="45"/>
        <v>0</v>
      </c>
      <c r="S258" s="81"/>
      <c r="T258" s="52">
        <f t="shared" si="40"/>
        <v>5</v>
      </c>
      <c r="U258" s="236">
        <f t="shared" si="41"/>
        <v>31847.799999999996</v>
      </c>
      <c r="V258" s="114">
        <f t="shared" si="39"/>
        <v>0</v>
      </c>
      <c r="W258" s="122"/>
      <c r="X258" s="123"/>
      <c r="Y258" s="125"/>
      <c r="Z258" s="123"/>
      <c r="AA258" s="123"/>
      <c r="AB258" s="123"/>
    </row>
    <row r="259" spans="1:28" s="89" customFormat="1" ht="18.75" customHeight="1" x14ac:dyDescent="0.3">
      <c r="A259" s="131" t="s">
        <v>76</v>
      </c>
      <c r="B259" s="81"/>
      <c r="C259" s="81">
        <v>100</v>
      </c>
      <c r="D259" s="81">
        <v>34</v>
      </c>
      <c r="E259" s="59">
        <v>100</v>
      </c>
      <c r="F259" s="97">
        <f>2962*1.16</f>
        <v>3435.9199999999996</v>
      </c>
      <c r="G259" s="83">
        <f t="shared" si="46"/>
        <v>343591.99999999994</v>
      </c>
      <c r="H259" s="96"/>
      <c r="I259" s="231"/>
      <c r="J259" s="81"/>
      <c r="K259" s="81">
        <v>53</v>
      </c>
      <c r="L259" s="81"/>
      <c r="M259" s="81"/>
      <c r="N259" s="81"/>
      <c r="O259" s="81"/>
      <c r="P259" s="41">
        <f>SUBTOTAL(9,I259:O259)</f>
        <v>53</v>
      </c>
      <c r="Q259" s="97">
        <f>2962*1.16</f>
        <v>3435.9199999999996</v>
      </c>
      <c r="R259" s="20">
        <f t="shared" si="45"/>
        <v>182103.75999999998</v>
      </c>
      <c r="S259" s="81"/>
      <c r="T259" s="52">
        <f t="shared" si="40"/>
        <v>153</v>
      </c>
      <c r="U259" s="236">
        <f t="shared" si="41"/>
        <v>525695.75999999989</v>
      </c>
      <c r="V259" s="114">
        <f t="shared" si="39"/>
        <v>0</v>
      </c>
      <c r="W259" s="122"/>
      <c r="X259" s="123"/>
      <c r="Y259" s="125"/>
      <c r="Z259" s="123"/>
      <c r="AA259" s="123"/>
      <c r="AB259" s="123"/>
    </row>
    <row r="260" spans="1:28" s="89" customFormat="1" ht="29.25" customHeight="1" x14ac:dyDescent="0.3">
      <c r="A260" s="131" t="s">
        <v>401</v>
      </c>
      <c r="B260" s="81"/>
      <c r="C260" s="81">
        <v>6</v>
      </c>
      <c r="D260" s="81">
        <v>46</v>
      </c>
      <c r="E260" s="59">
        <v>6</v>
      </c>
      <c r="F260" s="97">
        <f>67531*1.16</f>
        <v>78335.959999999992</v>
      </c>
      <c r="G260" s="83">
        <f t="shared" si="46"/>
        <v>470015.75999999995</v>
      </c>
      <c r="H260" s="96"/>
      <c r="I260" s="231"/>
      <c r="J260" s="81"/>
      <c r="K260" s="81"/>
      <c r="L260" s="81"/>
      <c r="M260" s="81"/>
      <c r="N260" s="81"/>
      <c r="O260" s="81"/>
      <c r="P260" s="81"/>
      <c r="Q260" s="20"/>
      <c r="R260" s="20">
        <f t="shared" si="45"/>
        <v>0</v>
      </c>
      <c r="S260" s="81"/>
      <c r="T260" s="52">
        <f t="shared" si="40"/>
        <v>6</v>
      </c>
      <c r="U260" s="236">
        <f>+T260*F260</f>
        <v>470015.75999999995</v>
      </c>
      <c r="V260" s="114">
        <f t="shared" si="39"/>
        <v>0</v>
      </c>
      <c r="W260" s="122"/>
      <c r="X260" s="123"/>
      <c r="Y260" s="125"/>
      <c r="Z260" s="123"/>
      <c r="AA260" s="123"/>
      <c r="AB260" s="123"/>
    </row>
    <row r="261" spans="1:28" s="89" customFormat="1" ht="16.5" customHeight="1" x14ac:dyDescent="0.3">
      <c r="A261" s="131" t="s">
        <v>402</v>
      </c>
      <c r="B261" s="81"/>
      <c r="C261" s="81">
        <v>12</v>
      </c>
      <c r="D261" s="81"/>
      <c r="E261" s="59">
        <v>12</v>
      </c>
      <c r="F261" s="97">
        <f>6758*1.16</f>
        <v>7839.28</v>
      </c>
      <c r="G261" s="83">
        <f t="shared" si="46"/>
        <v>94071.360000000001</v>
      </c>
      <c r="H261" s="96"/>
      <c r="I261" s="231"/>
      <c r="J261" s="81"/>
      <c r="K261" s="81"/>
      <c r="L261" s="81"/>
      <c r="M261" s="81"/>
      <c r="N261" s="81"/>
      <c r="O261" s="81"/>
      <c r="P261" s="81"/>
      <c r="Q261" s="20"/>
      <c r="R261" s="20">
        <f t="shared" si="45"/>
        <v>0</v>
      </c>
      <c r="S261" s="81"/>
      <c r="T261" s="52">
        <f t="shared" si="40"/>
        <v>12</v>
      </c>
      <c r="U261" s="236">
        <f>+T261*F261</f>
        <v>94071.360000000001</v>
      </c>
      <c r="V261" s="114">
        <f t="shared" si="39"/>
        <v>0</v>
      </c>
      <c r="W261" s="122"/>
      <c r="X261" s="123"/>
      <c r="Y261" s="125"/>
      <c r="Z261" s="123"/>
      <c r="AA261" s="123"/>
      <c r="AB261" s="123"/>
    </row>
    <row r="262" spans="1:28" s="89" customFormat="1" ht="16.5" customHeight="1" x14ac:dyDescent="0.3">
      <c r="A262" s="131" t="s">
        <v>238</v>
      </c>
      <c r="B262" s="81"/>
      <c r="C262" s="81">
        <v>6</v>
      </c>
      <c r="D262" s="81">
        <v>4</v>
      </c>
      <c r="E262" s="59">
        <v>6</v>
      </c>
      <c r="F262" s="97">
        <f>7243*1.16</f>
        <v>8401.8799999999992</v>
      </c>
      <c r="G262" s="83">
        <f t="shared" si="46"/>
        <v>50411.28</v>
      </c>
      <c r="H262" s="96"/>
      <c r="I262" s="231"/>
      <c r="J262" s="81"/>
      <c r="K262" s="81"/>
      <c r="L262" s="81"/>
      <c r="M262" s="81"/>
      <c r="N262" s="81"/>
      <c r="O262" s="81"/>
      <c r="P262" s="81"/>
      <c r="Q262" s="20"/>
      <c r="R262" s="20">
        <f t="shared" si="45"/>
        <v>0</v>
      </c>
      <c r="S262" s="81"/>
      <c r="T262" s="52">
        <f t="shared" si="40"/>
        <v>6</v>
      </c>
      <c r="U262" s="236">
        <f>+T262*F262</f>
        <v>50411.28</v>
      </c>
      <c r="V262" s="114">
        <f t="shared" si="39"/>
        <v>0</v>
      </c>
      <c r="W262" s="122"/>
      <c r="X262" s="123"/>
      <c r="Y262" s="125"/>
      <c r="Z262" s="123"/>
      <c r="AA262" s="123"/>
      <c r="AB262" s="123"/>
    </row>
    <row r="263" spans="1:28" s="89" customFormat="1" ht="31.5" customHeight="1" x14ac:dyDescent="0.3">
      <c r="A263" s="131" t="s">
        <v>403</v>
      </c>
      <c r="B263" s="81"/>
      <c r="C263" s="81">
        <v>1</v>
      </c>
      <c r="D263" s="81">
        <v>0</v>
      </c>
      <c r="E263" s="59">
        <v>1</v>
      </c>
      <c r="F263" s="97">
        <f>680674*1.16</f>
        <v>789581.84</v>
      </c>
      <c r="G263" s="83">
        <f t="shared" si="46"/>
        <v>789581.84</v>
      </c>
      <c r="H263" s="96"/>
      <c r="I263" s="231"/>
      <c r="J263" s="81"/>
      <c r="K263" s="81"/>
      <c r="L263" s="81"/>
      <c r="M263" s="81"/>
      <c r="N263" s="81"/>
      <c r="O263" s="81"/>
      <c r="P263" s="81"/>
      <c r="Q263" s="20"/>
      <c r="R263" s="20"/>
      <c r="S263" s="81"/>
      <c r="T263" s="52">
        <f t="shared" si="40"/>
        <v>1</v>
      </c>
      <c r="U263" s="236">
        <f>+T263*F263</f>
        <v>789581.84</v>
      </c>
      <c r="V263" s="114">
        <f t="shared" ref="V263:V326" si="47">+G263+R263-U263</f>
        <v>0</v>
      </c>
      <c r="W263" s="122"/>
      <c r="X263" s="123"/>
      <c r="Y263" s="125"/>
      <c r="Z263" s="123"/>
      <c r="AA263" s="123"/>
      <c r="AB263" s="123"/>
    </row>
    <row r="264" spans="1:28" s="89" customFormat="1" ht="18.75" customHeight="1" x14ac:dyDescent="0.3">
      <c r="A264" s="131" t="s">
        <v>405</v>
      </c>
      <c r="B264" s="81"/>
      <c r="C264" s="81"/>
      <c r="D264" s="81"/>
      <c r="E264" s="59"/>
      <c r="F264" s="97"/>
      <c r="G264" s="83"/>
      <c r="H264" s="96"/>
      <c r="I264" s="231"/>
      <c r="J264" s="81"/>
      <c r="K264" s="133">
        <v>12</v>
      </c>
      <c r="L264" s="81"/>
      <c r="M264" s="81"/>
      <c r="N264" s="81"/>
      <c r="O264" s="81"/>
      <c r="P264" s="41">
        <f t="shared" ref="P264:P280" si="48">SUBTOTAL(9,I264:O264)</f>
        <v>12</v>
      </c>
      <c r="Q264" s="20">
        <f>89177*1.16</f>
        <v>103445.31999999999</v>
      </c>
      <c r="R264" s="20">
        <f t="shared" ref="R264:R280" si="49">+Q264*P264</f>
        <v>1241343.8399999999</v>
      </c>
      <c r="S264" s="81"/>
      <c r="T264" s="52">
        <f t="shared" si="40"/>
        <v>12</v>
      </c>
      <c r="U264" s="236">
        <f t="shared" si="41"/>
        <v>1241343.8399999999</v>
      </c>
      <c r="V264" s="114">
        <f t="shared" si="47"/>
        <v>0</v>
      </c>
      <c r="W264" s="122"/>
      <c r="X264" s="123"/>
      <c r="Y264" s="125"/>
      <c r="Z264" s="123"/>
      <c r="AA264" s="123"/>
      <c r="AB264" s="123"/>
    </row>
    <row r="265" spans="1:28" s="89" customFormat="1" ht="18.75" customHeight="1" x14ac:dyDescent="0.3">
      <c r="A265" s="131" t="s">
        <v>348</v>
      </c>
      <c r="B265" s="81"/>
      <c r="C265" s="81"/>
      <c r="D265" s="81"/>
      <c r="E265" s="59"/>
      <c r="F265" s="97"/>
      <c r="G265" s="83"/>
      <c r="H265" s="96"/>
      <c r="I265" s="231"/>
      <c r="J265" s="81"/>
      <c r="K265" s="64">
        <v>4</v>
      </c>
      <c r="L265" s="81"/>
      <c r="M265" s="81"/>
      <c r="N265" s="81"/>
      <c r="O265" s="81"/>
      <c r="P265" s="41">
        <f t="shared" si="48"/>
        <v>4</v>
      </c>
      <c r="Q265" s="20">
        <v>73507</v>
      </c>
      <c r="R265" s="20">
        <f t="shared" si="49"/>
        <v>294028</v>
      </c>
      <c r="S265" s="81"/>
      <c r="T265" s="52">
        <f t="shared" si="40"/>
        <v>4</v>
      </c>
      <c r="U265" s="236">
        <f t="shared" si="41"/>
        <v>294028</v>
      </c>
      <c r="V265" s="114">
        <f t="shared" si="47"/>
        <v>0</v>
      </c>
      <c r="W265" s="122"/>
      <c r="X265" s="123"/>
      <c r="Y265" s="125"/>
      <c r="Z265" s="123"/>
      <c r="AA265" s="123"/>
      <c r="AB265" s="123"/>
    </row>
    <row r="266" spans="1:28" s="89" customFormat="1" ht="25.5" customHeight="1" x14ac:dyDescent="0.3">
      <c r="A266" s="131" t="s">
        <v>349</v>
      </c>
      <c r="B266" s="81"/>
      <c r="C266" s="81"/>
      <c r="D266" s="81"/>
      <c r="E266" s="59"/>
      <c r="F266" s="97"/>
      <c r="G266" s="83"/>
      <c r="H266" s="96"/>
      <c r="I266" s="231"/>
      <c r="J266" s="81"/>
      <c r="K266" s="64">
        <v>1</v>
      </c>
      <c r="L266" s="81"/>
      <c r="M266" s="81"/>
      <c r="N266" s="81"/>
      <c r="O266" s="81"/>
      <c r="P266" s="41">
        <f t="shared" si="48"/>
        <v>1</v>
      </c>
      <c r="Q266" s="20">
        <f>57352*1.16+2771</f>
        <v>69299.319999999992</v>
      </c>
      <c r="R266" s="20">
        <f t="shared" si="49"/>
        <v>69299.319999999992</v>
      </c>
      <c r="S266" s="81"/>
      <c r="T266" s="52">
        <f t="shared" ref="T266:T281" si="50">+E266+P266</f>
        <v>1</v>
      </c>
      <c r="U266" s="236">
        <f t="shared" si="41"/>
        <v>69299.319999999992</v>
      </c>
      <c r="V266" s="114">
        <f t="shared" si="47"/>
        <v>0</v>
      </c>
      <c r="W266" s="122"/>
      <c r="X266" s="123"/>
      <c r="Y266" s="125"/>
      <c r="Z266" s="123"/>
      <c r="AA266" s="123"/>
      <c r="AB266" s="123"/>
    </row>
    <row r="267" spans="1:28" s="89" customFormat="1" ht="18.75" customHeight="1" x14ac:dyDescent="0.3">
      <c r="A267" s="131" t="s">
        <v>406</v>
      </c>
      <c r="B267" s="81"/>
      <c r="C267" s="81"/>
      <c r="D267" s="81"/>
      <c r="E267" s="59"/>
      <c r="F267" s="97"/>
      <c r="G267" s="83"/>
      <c r="H267" s="96"/>
      <c r="I267" s="231"/>
      <c r="J267" s="81"/>
      <c r="K267" s="64">
        <v>8</v>
      </c>
      <c r="L267" s="81"/>
      <c r="M267" s="81"/>
      <c r="N267" s="81"/>
      <c r="O267" s="81"/>
      <c r="P267" s="41">
        <f t="shared" si="48"/>
        <v>8</v>
      </c>
      <c r="Q267" s="20">
        <v>142331</v>
      </c>
      <c r="R267" s="20">
        <f t="shared" si="49"/>
        <v>1138648</v>
      </c>
      <c r="S267" s="81"/>
      <c r="T267" s="52">
        <f t="shared" si="50"/>
        <v>8</v>
      </c>
      <c r="U267" s="236">
        <f t="shared" si="41"/>
        <v>1138648</v>
      </c>
      <c r="V267" s="114">
        <f t="shared" si="47"/>
        <v>0</v>
      </c>
      <c r="W267" s="122"/>
      <c r="X267" s="123"/>
      <c r="Y267" s="125"/>
      <c r="Z267" s="123"/>
      <c r="AA267" s="123"/>
      <c r="AB267" s="123"/>
    </row>
    <row r="268" spans="1:28" s="89" customFormat="1" ht="18.75" customHeight="1" x14ac:dyDescent="0.3">
      <c r="A268" s="131" t="s">
        <v>350</v>
      </c>
      <c r="B268" s="81"/>
      <c r="C268" s="81"/>
      <c r="D268" s="81"/>
      <c r="E268" s="59"/>
      <c r="F268" s="97"/>
      <c r="G268" s="83"/>
      <c r="H268" s="96"/>
      <c r="I268" s="231"/>
      <c r="J268" s="81"/>
      <c r="K268" s="64">
        <v>2</v>
      </c>
      <c r="L268" s="81"/>
      <c r="M268" s="81"/>
      <c r="N268" s="81"/>
      <c r="O268" s="81"/>
      <c r="P268" s="41">
        <f t="shared" si="48"/>
        <v>2</v>
      </c>
      <c r="Q268" s="20">
        <f>39099*1.16</f>
        <v>45354.84</v>
      </c>
      <c r="R268" s="20">
        <f t="shared" si="49"/>
        <v>90709.68</v>
      </c>
      <c r="S268" s="81"/>
      <c r="T268" s="52">
        <f t="shared" si="50"/>
        <v>2</v>
      </c>
      <c r="U268" s="236">
        <f t="shared" si="41"/>
        <v>90709.68</v>
      </c>
      <c r="V268" s="114">
        <f t="shared" si="47"/>
        <v>0</v>
      </c>
      <c r="W268" s="122"/>
      <c r="X268" s="123"/>
      <c r="Y268" s="125"/>
      <c r="Z268" s="123"/>
      <c r="AA268" s="123"/>
      <c r="AB268" s="123"/>
    </row>
    <row r="269" spans="1:28" s="89" customFormat="1" ht="18.75" customHeight="1" x14ac:dyDescent="0.3">
      <c r="A269" s="131" t="s">
        <v>407</v>
      </c>
      <c r="B269" s="81"/>
      <c r="C269" s="81"/>
      <c r="D269" s="81"/>
      <c r="E269" s="59"/>
      <c r="F269" s="97"/>
      <c r="G269" s="83"/>
      <c r="H269" s="96"/>
      <c r="I269" s="231"/>
      <c r="J269" s="81"/>
      <c r="K269" s="64">
        <v>60</v>
      </c>
      <c r="L269" s="81"/>
      <c r="M269" s="81"/>
      <c r="N269" s="81"/>
      <c r="O269" s="81"/>
      <c r="P269" s="41">
        <f t="shared" si="48"/>
        <v>60</v>
      </c>
      <c r="Q269" s="20">
        <v>1937</v>
      </c>
      <c r="R269" s="20">
        <f t="shared" si="49"/>
        <v>116220</v>
      </c>
      <c r="S269" s="81"/>
      <c r="T269" s="52">
        <f t="shared" si="50"/>
        <v>60</v>
      </c>
      <c r="U269" s="236">
        <f t="shared" si="41"/>
        <v>116220</v>
      </c>
      <c r="V269" s="114">
        <f t="shared" si="47"/>
        <v>0</v>
      </c>
      <c r="W269" s="122"/>
      <c r="X269" s="123"/>
      <c r="Y269" s="125"/>
      <c r="Z269" s="123"/>
      <c r="AA269" s="123"/>
      <c r="AB269" s="123"/>
    </row>
    <row r="270" spans="1:28" s="89" customFormat="1" ht="18.75" customHeight="1" x14ac:dyDescent="0.3">
      <c r="A270" s="131" t="s">
        <v>351</v>
      </c>
      <c r="B270" s="81"/>
      <c r="C270" s="81"/>
      <c r="D270" s="81"/>
      <c r="E270" s="59"/>
      <c r="F270" s="97"/>
      <c r="G270" s="83"/>
      <c r="H270" s="96"/>
      <c r="I270" s="231"/>
      <c r="J270" s="81"/>
      <c r="K270" s="64">
        <v>50</v>
      </c>
      <c r="L270" s="81"/>
      <c r="M270" s="81"/>
      <c r="N270" s="81"/>
      <c r="O270" s="81"/>
      <c r="P270" s="41">
        <f t="shared" si="48"/>
        <v>50</v>
      </c>
      <c r="Q270" s="20">
        <f>331*1.16</f>
        <v>383.96</v>
      </c>
      <c r="R270" s="20">
        <f t="shared" si="49"/>
        <v>19198</v>
      </c>
      <c r="S270" s="81"/>
      <c r="T270" s="52">
        <f t="shared" si="50"/>
        <v>50</v>
      </c>
      <c r="U270" s="236">
        <f t="shared" si="41"/>
        <v>19198</v>
      </c>
      <c r="V270" s="114">
        <f t="shared" si="47"/>
        <v>0</v>
      </c>
      <c r="W270" s="122"/>
      <c r="X270" s="123"/>
      <c r="Y270" s="125"/>
      <c r="Z270" s="123"/>
      <c r="AA270" s="123"/>
      <c r="AB270" s="123"/>
    </row>
    <row r="271" spans="1:28" s="89" customFormat="1" ht="18.75" customHeight="1" x14ac:dyDescent="0.3">
      <c r="A271" s="131" t="s">
        <v>352</v>
      </c>
      <c r="B271" s="81"/>
      <c r="C271" s="81"/>
      <c r="D271" s="81"/>
      <c r="E271" s="59"/>
      <c r="F271" s="97"/>
      <c r="G271" s="83"/>
      <c r="H271" s="96"/>
      <c r="I271" s="231"/>
      <c r="J271" s="81"/>
      <c r="K271" s="64">
        <v>89</v>
      </c>
      <c r="L271" s="81"/>
      <c r="M271" s="81"/>
      <c r="N271" s="81"/>
      <c r="O271" s="81"/>
      <c r="P271" s="41">
        <f t="shared" si="48"/>
        <v>89</v>
      </c>
      <c r="Q271" s="20">
        <f>168*1.16</f>
        <v>194.88</v>
      </c>
      <c r="R271" s="20">
        <f t="shared" si="49"/>
        <v>17344.32</v>
      </c>
      <c r="S271" s="81"/>
      <c r="T271" s="52">
        <f t="shared" si="50"/>
        <v>89</v>
      </c>
      <c r="U271" s="236">
        <f t="shared" si="41"/>
        <v>17344.32</v>
      </c>
      <c r="V271" s="114">
        <f t="shared" si="47"/>
        <v>0</v>
      </c>
      <c r="W271" s="122"/>
      <c r="X271" s="123"/>
      <c r="Y271" s="125"/>
      <c r="Z271" s="123"/>
      <c r="AA271" s="123"/>
      <c r="AB271" s="123"/>
    </row>
    <row r="272" spans="1:28" s="89" customFormat="1" ht="18.75" customHeight="1" x14ac:dyDescent="0.3">
      <c r="A272" s="131" t="s">
        <v>353</v>
      </c>
      <c r="B272" s="81"/>
      <c r="C272" s="81"/>
      <c r="D272" s="81"/>
      <c r="E272" s="59"/>
      <c r="F272" s="97"/>
      <c r="G272" s="83"/>
      <c r="H272" s="96"/>
      <c r="I272" s="231"/>
      <c r="J272" s="81"/>
      <c r="K272" s="64">
        <v>10</v>
      </c>
      <c r="L272" s="81"/>
      <c r="M272" s="81"/>
      <c r="N272" s="81"/>
      <c r="O272" s="81"/>
      <c r="P272" s="41">
        <f t="shared" si="48"/>
        <v>10</v>
      </c>
      <c r="Q272" s="20">
        <f>1184*1.16</f>
        <v>1373.4399999999998</v>
      </c>
      <c r="R272" s="20">
        <f t="shared" si="49"/>
        <v>13734.399999999998</v>
      </c>
      <c r="S272" s="81"/>
      <c r="T272" s="52">
        <f t="shared" si="50"/>
        <v>10</v>
      </c>
      <c r="U272" s="236">
        <f t="shared" si="41"/>
        <v>13734.399999999998</v>
      </c>
      <c r="V272" s="114">
        <f t="shared" si="47"/>
        <v>0</v>
      </c>
      <c r="W272" s="122"/>
      <c r="X272" s="123"/>
      <c r="Y272" s="125"/>
      <c r="Z272" s="123"/>
      <c r="AA272" s="123"/>
      <c r="AB272" s="123"/>
    </row>
    <row r="273" spans="1:28" s="89" customFormat="1" ht="18.75" customHeight="1" x14ac:dyDescent="0.3">
      <c r="A273" s="131" t="s">
        <v>354</v>
      </c>
      <c r="B273" s="81"/>
      <c r="C273" s="81"/>
      <c r="D273" s="81"/>
      <c r="E273" s="59"/>
      <c r="F273" s="97"/>
      <c r="G273" s="83"/>
      <c r="H273" s="96"/>
      <c r="I273" s="231"/>
      <c r="J273" s="81"/>
      <c r="K273" s="64">
        <v>10</v>
      </c>
      <c r="L273" s="81"/>
      <c r="M273" s="81"/>
      <c r="N273" s="81"/>
      <c r="O273" s="81"/>
      <c r="P273" s="41">
        <f t="shared" si="48"/>
        <v>10</v>
      </c>
      <c r="Q273" s="20">
        <f>929*1.16</f>
        <v>1077.6399999999999</v>
      </c>
      <c r="R273" s="20">
        <f t="shared" si="49"/>
        <v>10776.399999999998</v>
      </c>
      <c r="S273" s="81"/>
      <c r="T273" s="52">
        <f t="shared" si="50"/>
        <v>10</v>
      </c>
      <c r="U273" s="236">
        <f t="shared" si="41"/>
        <v>10776.399999999998</v>
      </c>
      <c r="V273" s="114">
        <f t="shared" si="47"/>
        <v>0</v>
      </c>
      <c r="W273" s="122"/>
      <c r="X273" s="123"/>
      <c r="Y273" s="125"/>
      <c r="Z273" s="123"/>
      <c r="AA273" s="123"/>
      <c r="AB273" s="123"/>
    </row>
    <row r="274" spans="1:28" s="89" customFormat="1" ht="27.75" customHeight="1" x14ac:dyDescent="0.3">
      <c r="A274" s="131" t="s">
        <v>491</v>
      </c>
      <c r="B274" s="81"/>
      <c r="C274" s="81"/>
      <c r="D274" s="81"/>
      <c r="E274" s="59"/>
      <c r="F274" s="97"/>
      <c r="G274" s="83"/>
      <c r="H274" s="96"/>
      <c r="I274" s="231"/>
      <c r="J274" s="81"/>
      <c r="K274" s="133">
        <v>6</v>
      </c>
      <c r="L274" s="81"/>
      <c r="M274" s="81"/>
      <c r="N274" s="81"/>
      <c r="O274" s="81"/>
      <c r="P274" s="41">
        <f t="shared" si="48"/>
        <v>6</v>
      </c>
      <c r="Q274" s="20">
        <f>34299*1.16</f>
        <v>39786.839999999997</v>
      </c>
      <c r="R274" s="20">
        <f t="shared" si="49"/>
        <v>238721.03999999998</v>
      </c>
      <c r="S274" s="81"/>
      <c r="T274" s="52">
        <f t="shared" si="50"/>
        <v>6</v>
      </c>
      <c r="U274" s="236">
        <f t="shared" si="41"/>
        <v>238721.03999999998</v>
      </c>
      <c r="V274" s="114">
        <f t="shared" si="47"/>
        <v>0</v>
      </c>
      <c r="W274" s="122"/>
      <c r="X274" s="123"/>
      <c r="Y274" s="125"/>
      <c r="Z274" s="123"/>
      <c r="AA274" s="123"/>
      <c r="AB274" s="123"/>
    </row>
    <row r="275" spans="1:28" s="89" customFormat="1" ht="18.75" customHeight="1" x14ac:dyDescent="0.3">
      <c r="A275" s="131" t="s">
        <v>408</v>
      </c>
      <c r="B275" s="81"/>
      <c r="C275" s="81"/>
      <c r="D275" s="81"/>
      <c r="E275" s="59"/>
      <c r="F275" s="97"/>
      <c r="G275" s="83"/>
      <c r="H275" s="96"/>
      <c r="I275" s="231"/>
      <c r="J275" s="81"/>
      <c r="K275" s="133">
        <v>10</v>
      </c>
      <c r="L275" s="81"/>
      <c r="M275" s="81"/>
      <c r="N275" s="81"/>
      <c r="O275" s="81"/>
      <c r="P275" s="41">
        <f t="shared" si="48"/>
        <v>10</v>
      </c>
      <c r="Q275" s="20">
        <v>527841</v>
      </c>
      <c r="R275" s="20">
        <f t="shared" si="49"/>
        <v>5278410</v>
      </c>
      <c r="S275" s="81"/>
      <c r="T275" s="52">
        <f t="shared" si="50"/>
        <v>10</v>
      </c>
      <c r="U275" s="236">
        <f t="shared" si="41"/>
        <v>5278410</v>
      </c>
      <c r="V275" s="114">
        <f t="shared" si="47"/>
        <v>0</v>
      </c>
      <c r="W275" s="122"/>
      <c r="X275" s="123"/>
      <c r="Y275" s="125"/>
      <c r="Z275" s="123"/>
      <c r="AA275" s="123"/>
      <c r="AB275" s="123"/>
    </row>
    <row r="276" spans="1:28" s="89" customFormat="1" ht="18.75" customHeight="1" x14ac:dyDescent="0.3">
      <c r="A276" s="131" t="s">
        <v>355</v>
      </c>
      <c r="B276" s="81"/>
      <c r="C276" s="81"/>
      <c r="D276" s="81"/>
      <c r="E276" s="59"/>
      <c r="F276" s="97"/>
      <c r="G276" s="83"/>
      <c r="H276" s="96"/>
      <c r="I276" s="231"/>
      <c r="J276" s="81"/>
      <c r="K276" s="133">
        <v>2</v>
      </c>
      <c r="L276" s="81"/>
      <c r="M276" s="81"/>
      <c r="N276" s="81"/>
      <c r="O276" s="81"/>
      <c r="P276" s="41">
        <f t="shared" si="48"/>
        <v>2</v>
      </c>
      <c r="Q276" s="20">
        <f>36208*1.16</f>
        <v>42001.279999999999</v>
      </c>
      <c r="R276" s="20">
        <f t="shared" si="49"/>
        <v>84002.559999999998</v>
      </c>
      <c r="S276" s="81"/>
      <c r="T276" s="52">
        <f t="shared" si="50"/>
        <v>2</v>
      </c>
      <c r="U276" s="236">
        <f t="shared" si="41"/>
        <v>84002.559999999998</v>
      </c>
      <c r="V276" s="114">
        <f t="shared" si="47"/>
        <v>0</v>
      </c>
      <c r="W276" s="122"/>
      <c r="X276" s="123"/>
      <c r="Y276" s="125"/>
      <c r="Z276" s="123"/>
      <c r="AA276" s="123"/>
      <c r="AB276" s="123"/>
    </row>
    <row r="277" spans="1:28" s="89" customFormat="1" ht="18.75" customHeight="1" x14ac:dyDescent="0.3">
      <c r="A277" s="131" t="s">
        <v>356</v>
      </c>
      <c r="B277" s="81"/>
      <c r="C277" s="81"/>
      <c r="D277" s="81"/>
      <c r="E277" s="59"/>
      <c r="F277" s="97"/>
      <c r="G277" s="83"/>
      <c r="H277" s="96"/>
      <c r="I277" s="231"/>
      <c r="J277" s="81"/>
      <c r="K277" s="134">
        <v>5</v>
      </c>
      <c r="L277" s="81"/>
      <c r="M277" s="81"/>
      <c r="N277" s="81"/>
      <c r="O277" s="81"/>
      <c r="P277" s="41">
        <f t="shared" si="48"/>
        <v>5</v>
      </c>
      <c r="Q277" s="20">
        <f>8431*1.16</f>
        <v>9779.9599999999991</v>
      </c>
      <c r="R277" s="20">
        <f t="shared" si="49"/>
        <v>48899.799999999996</v>
      </c>
      <c r="S277" s="81"/>
      <c r="T277" s="52">
        <f t="shared" si="50"/>
        <v>5</v>
      </c>
      <c r="U277" s="236">
        <f t="shared" si="41"/>
        <v>48899.799999999996</v>
      </c>
      <c r="V277" s="114">
        <f t="shared" si="47"/>
        <v>0</v>
      </c>
      <c r="W277" s="122"/>
      <c r="X277" s="123"/>
      <c r="Y277" s="125"/>
      <c r="Z277" s="123"/>
      <c r="AA277" s="123"/>
      <c r="AB277" s="123"/>
    </row>
    <row r="278" spans="1:28" s="89" customFormat="1" ht="18.75" customHeight="1" x14ac:dyDescent="0.3">
      <c r="A278" s="131" t="s">
        <v>357</v>
      </c>
      <c r="B278" s="81"/>
      <c r="C278" s="81"/>
      <c r="D278" s="81"/>
      <c r="E278" s="59"/>
      <c r="F278" s="97"/>
      <c r="G278" s="83"/>
      <c r="H278" s="96"/>
      <c r="I278" s="231"/>
      <c r="J278" s="81"/>
      <c r="K278" s="134">
        <v>10</v>
      </c>
      <c r="L278" s="81"/>
      <c r="M278" s="81"/>
      <c r="N278" s="81"/>
      <c r="O278" s="81"/>
      <c r="P278" s="41">
        <f t="shared" si="48"/>
        <v>10</v>
      </c>
      <c r="Q278" s="20">
        <f>6001*1.16</f>
        <v>6961.16</v>
      </c>
      <c r="R278" s="20">
        <f t="shared" si="49"/>
        <v>69611.600000000006</v>
      </c>
      <c r="S278" s="81"/>
      <c r="T278" s="52">
        <f t="shared" si="50"/>
        <v>10</v>
      </c>
      <c r="U278" s="236">
        <f t="shared" si="41"/>
        <v>69611.600000000006</v>
      </c>
      <c r="V278" s="114">
        <f t="shared" si="47"/>
        <v>0</v>
      </c>
      <c r="W278" s="122"/>
      <c r="X278" s="123"/>
      <c r="Y278" s="125"/>
      <c r="Z278" s="123"/>
      <c r="AA278" s="123"/>
      <c r="AB278" s="123"/>
    </row>
    <row r="279" spans="1:28" s="89" customFormat="1" ht="18.75" customHeight="1" x14ac:dyDescent="0.3">
      <c r="A279" s="131" t="s">
        <v>358</v>
      </c>
      <c r="B279" s="81"/>
      <c r="C279" s="81"/>
      <c r="D279" s="81"/>
      <c r="E279" s="59"/>
      <c r="F279" s="97"/>
      <c r="G279" s="83"/>
      <c r="H279" s="96"/>
      <c r="I279" s="231"/>
      <c r="J279" s="81"/>
      <c r="K279" s="134">
        <v>10</v>
      </c>
      <c r="L279" s="81"/>
      <c r="M279" s="81"/>
      <c r="N279" s="81"/>
      <c r="O279" s="81"/>
      <c r="P279" s="41">
        <f t="shared" si="48"/>
        <v>10</v>
      </c>
      <c r="Q279" s="20">
        <f>2325*1.16</f>
        <v>2697</v>
      </c>
      <c r="R279" s="20">
        <f t="shared" si="49"/>
        <v>26970</v>
      </c>
      <c r="S279" s="81"/>
      <c r="T279" s="52">
        <f t="shared" si="50"/>
        <v>10</v>
      </c>
      <c r="U279" s="236">
        <f t="shared" si="41"/>
        <v>26970</v>
      </c>
      <c r="V279" s="114">
        <f t="shared" si="47"/>
        <v>0</v>
      </c>
      <c r="W279" s="122"/>
      <c r="X279" s="123"/>
      <c r="Y279" s="125"/>
      <c r="Z279" s="123"/>
      <c r="AA279" s="123"/>
      <c r="AB279" s="123"/>
    </row>
    <row r="280" spans="1:28" s="89" customFormat="1" ht="18.75" customHeight="1" x14ac:dyDescent="0.3">
      <c r="A280" s="131" t="s">
        <v>359</v>
      </c>
      <c r="B280" s="81"/>
      <c r="C280" s="81"/>
      <c r="D280" s="81"/>
      <c r="E280" s="59"/>
      <c r="F280" s="97"/>
      <c r="G280" s="83"/>
      <c r="H280" s="96"/>
      <c r="I280" s="231"/>
      <c r="J280" s="81"/>
      <c r="K280" s="134">
        <v>70</v>
      </c>
      <c r="L280" s="81"/>
      <c r="M280" s="81"/>
      <c r="N280" s="81"/>
      <c r="O280" s="81"/>
      <c r="P280" s="41">
        <f t="shared" si="48"/>
        <v>70</v>
      </c>
      <c r="Q280" s="20">
        <v>4123</v>
      </c>
      <c r="R280" s="20">
        <f t="shared" si="49"/>
        <v>288610</v>
      </c>
      <c r="S280" s="81"/>
      <c r="T280" s="52">
        <f t="shared" si="50"/>
        <v>70</v>
      </c>
      <c r="U280" s="236">
        <f t="shared" si="41"/>
        <v>288610</v>
      </c>
      <c r="V280" s="114">
        <f t="shared" si="47"/>
        <v>0</v>
      </c>
      <c r="W280" s="122"/>
      <c r="X280" s="123"/>
      <c r="Y280" s="125"/>
      <c r="Z280" s="123"/>
      <c r="AA280" s="123"/>
      <c r="AB280" s="123"/>
    </row>
    <row r="281" spans="1:28" s="89" customFormat="1" ht="16.5" customHeight="1" x14ac:dyDescent="0.3">
      <c r="A281" s="90" t="s">
        <v>77</v>
      </c>
      <c r="B281" s="81"/>
      <c r="C281" s="81"/>
      <c r="D281" s="81"/>
      <c r="E281" s="59">
        <v>1</v>
      </c>
      <c r="F281" s="85">
        <f>4887160+5496</f>
        <v>4892656</v>
      </c>
      <c r="G281" s="83">
        <f>+F281</f>
        <v>4892656</v>
      </c>
      <c r="H281" s="96"/>
      <c r="I281" s="231"/>
      <c r="J281" s="81"/>
      <c r="K281" s="81"/>
      <c r="L281" s="81"/>
      <c r="M281" s="81"/>
      <c r="N281" s="81"/>
      <c r="O281" s="81"/>
      <c r="P281" s="133"/>
      <c r="Q281" s="20"/>
      <c r="R281" s="20">
        <f t="shared" si="45"/>
        <v>0</v>
      </c>
      <c r="S281" s="81"/>
      <c r="T281" s="52">
        <f t="shared" si="50"/>
        <v>1</v>
      </c>
      <c r="U281" s="236">
        <f>+T281*F281</f>
        <v>4892656</v>
      </c>
      <c r="V281" s="114">
        <f t="shared" si="47"/>
        <v>0</v>
      </c>
      <c r="W281" s="122"/>
      <c r="X281" s="123"/>
      <c r="Y281" s="125"/>
      <c r="Z281" s="123"/>
      <c r="AA281" s="123"/>
      <c r="AB281" s="123"/>
    </row>
    <row r="282" spans="1:28" ht="16.5" customHeight="1" x14ac:dyDescent="0.3">
      <c r="A282" s="53" t="s">
        <v>78</v>
      </c>
      <c r="B282" s="107"/>
      <c r="C282" s="107"/>
      <c r="D282" s="107"/>
      <c r="E282" s="108"/>
      <c r="F282" s="117"/>
      <c r="G282" s="118">
        <f>SUM(G202:G281)</f>
        <v>34844091.719999999</v>
      </c>
      <c r="H282" s="120"/>
      <c r="I282" s="116"/>
      <c r="J282" s="107"/>
      <c r="K282" s="107"/>
      <c r="L282" s="107"/>
      <c r="M282" s="107"/>
      <c r="N282" s="107"/>
      <c r="O282" s="107"/>
      <c r="P282" s="107"/>
      <c r="Q282" s="70"/>
      <c r="R282" s="254">
        <f>SUM(R202:R281)</f>
        <v>28267788.103199996</v>
      </c>
      <c r="S282" s="107"/>
      <c r="T282" s="107"/>
      <c r="U282" s="241">
        <f>SUM(U202:U281)</f>
        <v>63111879.82319998</v>
      </c>
      <c r="V282" s="114">
        <f t="shared" si="47"/>
        <v>0</v>
      </c>
      <c r="Y282" s="72"/>
      <c r="Z282" s="72"/>
      <c r="AA282" s="72"/>
    </row>
    <row r="283" spans="1:28" ht="16.5" customHeight="1" x14ac:dyDescent="0.3">
      <c r="A283" s="53" t="s">
        <v>79</v>
      </c>
      <c r="B283" s="107"/>
      <c r="C283" s="107"/>
      <c r="D283" s="107"/>
      <c r="E283" s="108"/>
      <c r="F283" s="117"/>
      <c r="G283" s="118"/>
      <c r="H283" s="120"/>
      <c r="I283" s="116"/>
      <c r="J283" s="107"/>
      <c r="K283" s="107"/>
      <c r="L283" s="107"/>
      <c r="M283" s="107"/>
      <c r="N283" s="107"/>
      <c r="O283" s="107"/>
      <c r="P283" s="107"/>
      <c r="Q283" s="70"/>
      <c r="R283" s="70"/>
      <c r="S283" s="107"/>
      <c r="T283" s="44"/>
      <c r="U283" s="236"/>
      <c r="V283" s="114">
        <f t="shared" si="47"/>
        <v>0</v>
      </c>
      <c r="Y283" s="72"/>
    </row>
    <row r="284" spans="1:28" ht="16.5" customHeight="1" x14ac:dyDescent="0.3">
      <c r="A284" s="53" t="s">
        <v>80</v>
      </c>
      <c r="B284" s="107"/>
      <c r="C284" s="107"/>
      <c r="D284" s="107"/>
      <c r="E284" s="108"/>
      <c r="F284" s="109"/>
      <c r="G284" s="110"/>
      <c r="H284" s="120"/>
      <c r="I284" s="116"/>
      <c r="J284" s="107"/>
      <c r="K284" s="107"/>
      <c r="L284" s="107"/>
      <c r="M284" s="107"/>
      <c r="N284" s="107"/>
      <c r="O284" s="107"/>
      <c r="P284" s="107"/>
      <c r="Q284" s="70"/>
      <c r="R284" s="70"/>
      <c r="S284" s="107"/>
      <c r="T284" s="44"/>
      <c r="U284" s="236"/>
      <c r="V284" s="114">
        <f t="shared" si="47"/>
        <v>0</v>
      </c>
    </row>
    <row r="285" spans="1:28" s="89" customFormat="1" ht="18.75" customHeight="1" x14ac:dyDescent="0.3">
      <c r="A285" s="95" t="s">
        <v>266</v>
      </c>
      <c r="B285" s="81"/>
      <c r="C285" s="81"/>
      <c r="D285" s="81"/>
      <c r="E285" s="59"/>
      <c r="F285" s="97"/>
      <c r="G285" s="83">
        <f>E285*F285</f>
        <v>0</v>
      </c>
      <c r="H285" s="96"/>
      <c r="I285" s="231"/>
      <c r="J285" s="81"/>
      <c r="K285" s="81">
        <v>3</v>
      </c>
      <c r="L285" s="81"/>
      <c r="M285" s="81"/>
      <c r="N285" s="81"/>
      <c r="O285" s="81"/>
      <c r="P285" s="41">
        <f>SUBTOTAL(9,I285:O285)</f>
        <v>3</v>
      </c>
      <c r="Q285" s="20">
        <f>106920*1.16</f>
        <v>124027.2</v>
      </c>
      <c r="R285" s="20">
        <f t="shared" si="45"/>
        <v>372081.6</v>
      </c>
      <c r="S285" s="81">
        <v>2</v>
      </c>
      <c r="T285" s="52">
        <f t="shared" ref="T285:T324" si="51">+E285+P285</f>
        <v>3</v>
      </c>
      <c r="U285" s="236">
        <f>+R285+G285</f>
        <v>372081.6</v>
      </c>
      <c r="V285" s="114">
        <f t="shared" si="47"/>
        <v>0</v>
      </c>
      <c r="W285" s="122"/>
      <c r="X285" s="123"/>
      <c r="Y285" s="123"/>
      <c r="AA285" s="123"/>
    </row>
    <row r="286" spans="1:28" s="89" customFormat="1" ht="24" customHeight="1" x14ac:dyDescent="0.3">
      <c r="A286" s="95" t="s">
        <v>81</v>
      </c>
      <c r="B286" s="81"/>
      <c r="C286" s="81"/>
      <c r="D286" s="81"/>
      <c r="E286" s="59"/>
      <c r="F286" s="97"/>
      <c r="G286" s="83">
        <f>E286*F286</f>
        <v>0</v>
      </c>
      <c r="H286" s="96"/>
      <c r="I286" s="231"/>
      <c r="J286" s="81"/>
      <c r="K286" s="81"/>
      <c r="L286" s="81"/>
      <c r="M286" s="81"/>
      <c r="N286" s="81"/>
      <c r="O286" s="81"/>
      <c r="P286" s="41">
        <f>SUBTOTAL(9,I286:O286)</f>
        <v>0</v>
      </c>
      <c r="Q286" s="20">
        <v>500000</v>
      </c>
      <c r="R286" s="20">
        <f t="shared" si="45"/>
        <v>0</v>
      </c>
      <c r="S286" s="81">
        <v>0</v>
      </c>
      <c r="T286" s="52">
        <f t="shared" si="51"/>
        <v>0</v>
      </c>
      <c r="U286" s="236">
        <f t="shared" ref="U286:U296" si="52">+R286+G286</f>
        <v>0</v>
      </c>
      <c r="V286" s="114">
        <f t="shared" si="47"/>
        <v>0</v>
      </c>
      <c r="W286" s="122"/>
      <c r="X286" s="123"/>
      <c r="Y286" s="123"/>
      <c r="AA286" s="123"/>
    </row>
    <row r="287" spans="1:28" s="89" customFormat="1" ht="18.75" customHeight="1" x14ac:dyDescent="0.3">
      <c r="A287" s="95" t="s">
        <v>82</v>
      </c>
      <c r="B287" s="81"/>
      <c r="C287" s="81"/>
      <c r="D287" s="81"/>
      <c r="E287" s="59"/>
      <c r="F287" s="97"/>
      <c r="G287" s="83">
        <f>E287*F287</f>
        <v>0</v>
      </c>
      <c r="H287" s="96"/>
      <c r="I287" s="231"/>
      <c r="J287" s="81"/>
      <c r="K287" s="81">
        <v>22</v>
      </c>
      <c r="L287" s="81"/>
      <c r="M287" s="81"/>
      <c r="N287" s="81"/>
      <c r="O287" s="81"/>
      <c r="P287" s="41">
        <f>SUBTOTAL(9,I287:O287)</f>
        <v>22</v>
      </c>
      <c r="Q287" s="97">
        <f>183150*1.16</f>
        <v>212453.99999999997</v>
      </c>
      <c r="R287" s="20">
        <f t="shared" si="45"/>
        <v>4673987.9999999991</v>
      </c>
      <c r="S287" s="81">
        <v>14</v>
      </c>
      <c r="T287" s="52">
        <f t="shared" si="51"/>
        <v>22</v>
      </c>
      <c r="U287" s="236">
        <f t="shared" si="52"/>
        <v>4673987.9999999991</v>
      </c>
      <c r="V287" s="114">
        <f t="shared" si="47"/>
        <v>0</v>
      </c>
      <c r="W287" s="122"/>
      <c r="X287" s="123"/>
      <c r="Y287" s="123"/>
      <c r="AA287" s="123"/>
    </row>
    <row r="288" spans="1:28" s="89" customFormat="1" ht="24" customHeight="1" x14ac:dyDescent="0.3">
      <c r="A288" s="95" t="s">
        <v>269</v>
      </c>
      <c r="B288" s="81"/>
      <c r="C288" s="81"/>
      <c r="D288" s="81"/>
      <c r="E288" s="59"/>
      <c r="F288" s="97"/>
      <c r="G288" s="83">
        <f>+E288*F288</f>
        <v>0</v>
      </c>
      <c r="H288" s="96"/>
      <c r="I288" s="231"/>
      <c r="J288" s="81"/>
      <c r="K288" s="81">
        <v>8</v>
      </c>
      <c r="L288" s="81"/>
      <c r="M288" s="81"/>
      <c r="N288" s="81"/>
      <c r="O288" s="81"/>
      <c r="P288" s="41">
        <f>SUBTOTAL(9,I288:O288)</f>
        <v>8</v>
      </c>
      <c r="Q288" s="20">
        <f>514800*1.16</f>
        <v>597168</v>
      </c>
      <c r="R288" s="20">
        <f t="shared" si="45"/>
        <v>4777344</v>
      </c>
      <c r="S288" s="81">
        <v>0</v>
      </c>
      <c r="T288" s="52">
        <f t="shared" si="51"/>
        <v>8</v>
      </c>
      <c r="U288" s="236">
        <f t="shared" si="52"/>
        <v>4777344</v>
      </c>
      <c r="V288" s="114">
        <f t="shared" si="47"/>
        <v>0</v>
      </c>
      <c r="W288" s="122"/>
      <c r="X288" s="123"/>
      <c r="Y288" s="123"/>
      <c r="AA288" s="123"/>
    </row>
    <row r="289" spans="1:27" s="89" customFormat="1" ht="18.75" customHeight="1" x14ac:dyDescent="0.3">
      <c r="A289" s="90" t="s">
        <v>206</v>
      </c>
      <c r="B289" s="81"/>
      <c r="C289" s="81"/>
      <c r="D289" s="81">
        <v>0</v>
      </c>
      <c r="E289" s="59">
        <v>4</v>
      </c>
      <c r="F289" s="20">
        <f>501306*1.16</f>
        <v>581514.96</v>
      </c>
      <c r="G289" s="83">
        <f>+E289*F289</f>
        <v>2326059.84</v>
      </c>
      <c r="H289" s="96"/>
      <c r="I289" s="231"/>
      <c r="J289" s="81"/>
      <c r="K289" s="81"/>
      <c r="L289" s="81"/>
      <c r="M289" s="81"/>
      <c r="N289" s="81"/>
      <c r="O289" s="81"/>
      <c r="P289" s="41">
        <f>SUBTOTAL(9,I289:O289)</f>
        <v>0</v>
      </c>
      <c r="Q289" s="20">
        <f>501306*1.16</f>
        <v>581514.96</v>
      </c>
      <c r="R289" s="20">
        <f t="shared" si="45"/>
        <v>0</v>
      </c>
      <c r="S289" s="81">
        <v>0</v>
      </c>
      <c r="T289" s="52">
        <f t="shared" si="51"/>
        <v>4</v>
      </c>
      <c r="U289" s="236">
        <f t="shared" si="52"/>
        <v>2326059.84</v>
      </c>
      <c r="V289" s="114">
        <f t="shared" si="47"/>
        <v>0</v>
      </c>
      <c r="W289" s="122"/>
      <c r="X289" s="123"/>
      <c r="Y289" s="123"/>
      <c r="Z289" s="123"/>
      <c r="AA289" s="123"/>
    </row>
    <row r="290" spans="1:27" s="89" customFormat="1" ht="24" customHeight="1" x14ac:dyDescent="0.3">
      <c r="A290" s="90" t="s">
        <v>205</v>
      </c>
      <c r="B290" s="81"/>
      <c r="C290" s="81"/>
      <c r="D290" s="81">
        <v>0</v>
      </c>
      <c r="E290" s="59">
        <v>5</v>
      </c>
      <c r="F290" s="97">
        <f>630630*1.16</f>
        <v>731530.79999999993</v>
      </c>
      <c r="G290" s="83">
        <f>+E290*F290</f>
        <v>3657653.9999999995</v>
      </c>
      <c r="H290" s="96"/>
      <c r="I290" s="231"/>
      <c r="J290" s="81"/>
      <c r="K290" s="81"/>
      <c r="L290" s="81"/>
      <c r="M290" s="81"/>
      <c r="N290" s="81"/>
      <c r="O290" s="81"/>
      <c r="P290" s="81"/>
      <c r="Q290" s="20"/>
      <c r="R290" s="20">
        <f t="shared" si="45"/>
        <v>0</v>
      </c>
      <c r="S290" s="81">
        <v>0</v>
      </c>
      <c r="T290" s="52">
        <f t="shared" si="51"/>
        <v>5</v>
      </c>
      <c r="U290" s="236">
        <f>+T290*F290</f>
        <v>3657653.9999999995</v>
      </c>
      <c r="V290" s="114">
        <f t="shared" si="47"/>
        <v>0</v>
      </c>
      <c r="W290" s="122"/>
      <c r="X290" s="123"/>
      <c r="Y290" s="123"/>
      <c r="Z290" s="123"/>
      <c r="AA290" s="123"/>
    </row>
    <row r="291" spans="1:27" s="89" customFormat="1" ht="18.75" customHeight="1" x14ac:dyDescent="0.3">
      <c r="A291" s="95" t="s">
        <v>472</v>
      </c>
      <c r="B291" s="81"/>
      <c r="C291" s="81"/>
      <c r="D291" s="81"/>
      <c r="E291" s="59"/>
      <c r="F291" s="97"/>
      <c r="G291" s="83">
        <f t="shared" ref="G291:G296" si="53">+E291*F291</f>
        <v>0</v>
      </c>
      <c r="H291" s="96"/>
      <c r="I291" s="231"/>
      <c r="J291" s="81"/>
      <c r="K291" s="81">
        <v>16</v>
      </c>
      <c r="L291" s="81"/>
      <c r="M291" s="81"/>
      <c r="N291" s="81"/>
      <c r="O291" s="81"/>
      <c r="P291" s="41">
        <f t="shared" ref="P291:P323" si="54">SUBTOTAL(9,I291:O291)</f>
        <v>16</v>
      </c>
      <c r="Q291" s="20">
        <f>133650*1.16</f>
        <v>155034</v>
      </c>
      <c r="R291" s="20">
        <f t="shared" si="45"/>
        <v>2480544</v>
      </c>
      <c r="S291" s="81">
        <v>0</v>
      </c>
      <c r="T291" s="52">
        <f t="shared" si="51"/>
        <v>16</v>
      </c>
      <c r="U291" s="236">
        <f t="shared" si="52"/>
        <v>2480544</v>
      </c>
      <c r="V291" s="114">
        <f t="shared" si="47"/>
        <v>0</v>
      </c>
      <c r="W291" s="122"/>
      <c r="X291" s="123"/>
      <c r="Y291" s="123"/>
      <c r="AA291" s="123"/>
    </row>
    <row r="292" spans="1:27" s="89" customFormat="1" ht="18.75" customHeight="1" x14ac:dyDescent="0.3">
      <c r="A292" s="135" t="s">
        <v>209</v>
      </c>
      <c r="B292" s="81"/>
      <c r="C292" s="81"/>
      <c r="D292" s="81"/>
      <c r="E292" s="59"/>
      <c r="F292" s="97"/>
      <c r="G292" s="83">
        <f t="shared" si="53"/>
        <v>0</v>
      </c>
      <c r="H292" s="96"/>
      <c r="I292" s="231"/>
      <c r="J292" s="81"/>
      <c r="K292" s="81"/>
      <c r="L292" s="81"/>
      <c r="M292" s="81"/>
      <c r="N292" s="81"/>
      <c r="O292" s="81"/>
      <c r="P292" s="41">
        <f t="shared" si="54"/>
        <v>0</v>
      </c>
      <c r="Q292" s="20">
        <v>250000</v>
      </c>
      <c r="R292" s="20">
        <f t="shared" si="45"/>
        <v>0</v>
      </c>
      <c r="S292" s="81">
        <v>9</v>
      </c>
      <c r="T292" s="52">
        <f t="shared" si="51"/>
        <v>0</v>
      </c>
      <c r="U292" s="236">
        <f t="shared" si="52"/>
        <v>0</v>
      </c>
      <c r="V292" s="114">
        <f t="shared" si="47"/>
        <v>0</v>
      </c>
      <c r="W292" s="122"/>
      <c r="X292" s="123"/>
      <c r="Y292" s="123"/>
      <c r="AA292" s="123"/>
    </row>
    <row r="293" spans="1:27" s="89" customFormat="1" ht="18.75" customHeight="1" x14ac:dyDescent="0.3">
      <c r="A293" s="135" t="s">
        <v>302</v>
      </c>
      <c r="B293" s="81"/>
      <c r="C293" s="81"/>
      <c r="D293" s="81"/>
      <c r="E293" s="59"/>
      <c r="F293" s="97"/>
      <c r="G293" s="83">
        <f t="shared" si="53"/>
        <v>0</v>
      </c>
      <c r="H293" s="96"/>
      <c r="I293" s="231"/>
      <c r="J293" s="81"/>
      <c r="K293" s="81"/>
      <c r="L293" s="81"/>
      <c r="M293" s="81"/>
      <c r="N293" s="81"/>
      <c r="O293" s="81"/>
      <c r="P293" s="41">
        <f t="shared" si="54"/>
        <v>0</v>
      </c>
      <c r="Q293" s="20">
        <v>211120</v>
      </c>
      <c r="R293" s="20">
        <f t="shared" si="45"/>
        <v>0</v>
      </c>
      <c r="S293" s="81">
        <v>0</v>
      </c>
      <c r="T293" s="52">
        <f t="shared" si="51"/>
        <v>0</v>
      </c>
      <c r="U293" s="236">
        <f t="shared" si="52"/>
        <v>0</v>
      </c>
      <c r="V293" s="114">
        <f t="shared" si="47"/>
        <v>0</v>
      </c>
      <c r="W293" s="122"/>
      <c r="X293" s="123"/>
      <c r="Y293" s="123"/>
      <c r="AA293" s="123"/>
    </row>
    <row r="294" spans="1:27" s="89" customFormat="1" ht="18.75" customHeight="1" x14ac:dyDescent="0.3">
      <c r="A294" s="135" t="s">
        <v>210</v>
      </c>
      <c r="B294" s="81"/>
      <c r="C294" s="81"/>
      <c r="D294" s="81"/>
      <c r="E294" s="59"/>
      <c r="F294" s="97"/>
      <c r="G294" s="83">
        <f t="shared" si="53"/>
        <v>0</v>
      </c>
      <c r="H294" s="96"/>
      <c r="I294" s="231"/>
      <c r="J294" s="81"/>
      <c r="K294" s="81"/>
      <c r="L294" s="81"/>
      <c r="M294" s="81"/>
      <c r="N294" s="81"/>
      <c r="O294" s="81"/>
      <c r="P294" s="41">
        <f t="shared" si="54"/>
        <v>0</v>
      </c>
      <c r="Q294" s="20">
        <v>600000</v>
      </c>
      <c r="R294" s="20">
        <f t="shared" si="45"/>
        <v>0</v>
      </c>
      <c r="S294" s="81">
        <v>0</v>
      </c>
      <c r="T294" s="52">
        <f t="shared" si="51"/>
        <v>0</v>
      </c>
      <c r="U294" s="236">
        <f t="shared" si="52"/>
        <v>0</v>
      </c>
      <c r="V294" s="114">
        <f t="shared" si="47"/>
        <v>0</v>
      </c>
      <c r="W294" s="122"/>
      <c r="X294" s="123"/>
      <c r="Y294" s="123"/>
      <c r="AA294" s="123"/>
    </row>
    <row r="295" spans="1:27" s="89" customFormat="1" ht="24" customHeight="1" x14ac:dyDescent="0.3">
      <c r="A295" s="95" t="s">
        <v>280</v>
      </c>
      <c r="B295" s="81"/>
      <c r="C295" s="81"/>
      <c r="D295" s="81"/>
      <c r="E295" s="59"/>
      <c r="F295" s="97"/>
      <c r="G295" s="83"/>
      <c r="H295" s="96"/>
      <c r="I295" s="231"/>
      <c r="J295" s="81"/>
      <c r="K295" s="81">
        <f>2+3</f>
        <v>5</v>
      </c>
      <c r="L295" s="81"/>
      <c r="M295" s="81"/>
      <c r="N295" s="81"/>
      <c r="O295" s="81"/>
      <c r="P295" s="41">
        <f t="shared" si="54"/>
        <v>5</v>
      </c>
      <c r="Q295" s="20">
        <f>172260*1.16</f>
        <v>199821.59999999998</v>
      </c>
      <c r="R295" s="20">
        <f>+Q295*P295</f>
        <v>999107.99999999988</v>
      </c>
      <c r="S295" s="81">
        <v>0</v>
      </c>
      <c r="T295" s="52">
        <f t="shared" si="51"/>
        <v>5</v>
      </c>
      <c r="U295" s="236">
        <f t="shared" si="52"/>
        <v>999107.99999999988</v>
      </c>
      <c r="V295" s="114">
        <f t="shared" si="47"/>
        <v>0</v>
      </c>
      <c r="W295" s="122"/>
      <c r="X295" s="123"/>
      <c r="Y295" s="123"/>
      <c r="AA295" s="123"/>
    </row>
    <row r="296" spans="1:27" s="89" customFormat="1" ht="18.75" customHeight="1" x14ac:dyDescent="0.3">
      <c r="A296" s="95" t="s">
        <v>83</v>
      </c>
      <c r="B296" s="81"/>
      <c r="C296" s="81"/>
      <c r="D296" s="81"/>
      <c r="E296" s="59"/>
      <c r="F296" s="97"/>
      <c r="G296" s="83">
        <f t="shared" si="53"/>
        <v>0</v>
      </c>
      <c r="H296" s="96"/>
      <c r="I296" s="231"/>
      <c r="J296" s="81"/>
      <c r="K296" s="81">
        <v>1</v>
      </c>
      <c r="L296" s="81"/>
      <c r="M296" s="81"/>
      <c r="N296" s="81"/>
      <c r="O296" s="81"/>
      <c r="P296" s="41">
        <f t="shared" si="54"/>
        <v>1</v>
      </c>
      <c r="Q296" s="20">
        <f>84158*1.16</f>
        <v>97623.28</v>
      </c>
      <c r="R296" s="20">
        <f t="shared" si="45"/>
        <v>97623.28</v>
      </c>
      <c r="S296" s="81">
        <v>1</v>
      </c>
      <c r="T296" s="52">
        <f t="shared" si="51"/>
        <v>1</v>
      </c>
      <c r="U296" s="236">
        <f t="shared" si="52"/>
        <v>97623.28</v>
      </c>
      <c r="V296" s="114">
        <f t="shared" si="47"/>
        <v>0</v>
      </c>
      <c r="W296" s="122"/>
      <c r="X296" s="123"/>
      <c r="Y296" s="123"/>
      <c r="AA296" s="123"/>
    </row>
    <row r="297" spans="1:27" s="89" customFormat="1" ht="18.75" customHeight="1" x14ac:dyDescent="0.3">
      <c r="A297" s="90" t="s">
        <v>380</v>
      </c>
      <c r="B297" s="81"/>
      <c r="C297" s="81"/>
      <c r="D297" s="81">
        <v>8</v>
      </c>
      <c r="E297" s="59">
        <v>5</v>
      </c>
      <c r="F297" s="97">
        <v>25334</v>
      </c>
      <c r="G297" s="83">
        <f>+F297*E297</f>
        <v>126670</v>
      </c>
      <c r="H297" s="96"/>
      <c r="I297" s="231"/>
      <c r="J297" s="81"/>
      <c r="K297" s="81">
        <v>6</v>
      </c>
      <c r="L297" s="81"/>
      <c r="M297" s="81"/>
      <c r="N297" s="81"/>
      <c r="O297" s="81"/>
      <c r="P297" s="41">
        <f t="shared" si="54"/>
        <v>6</v>
      </c>
      <c r="Q297" s="20">
        <v>25334</v>
      </c>
      <c r="R297" s="20">
        <f t="shared" ref="R297:R319" si="55">+Q297*P297</f>
        <v>152004</v>
      </c>
      <c r="S297" s="81">
        <v>8</v>
      </c>
      <c r="T297" s="52">
        <f t="shared" si="51"/>
        <v>11</v>
      </c>
      <c r="U297" s="236">
        <f t="shared" ref="U297:U319" si="56">+R297+G297</f>
        <v>278674</v>
      </c>
      <c r="V297" s="114">
        <f t="shared" si="47"/>
        <v>0</v>
      </c>
      <c r="W297" s="122"/>
    </row>
    <row r="298" spans="1:27" s="89" customFormat="1" ht="24" customHeight="1" x14ac:dyDescent="0.3">
      <c r="A298" s="95" t="s">
        <v>325</v>
      </c>
      <c r="B298" s="81"/>
      <c r="C298" s="81"/>
      <c r="D298" s="81">
        <v>5</v>
      </c>
      <c r="E298" s="59">
        <v>50</v>
      </c>
      <c r="F298" s="97">
        <v>1734</v>
      </c>
      <c r="G298" s="83">
        <f>+F298*E298</f>
        <v>86700</v>
      </c>
      <c r="H298" s="96"/>
      <c r="I298" s="231">
        <f>40+5</f>
        <v>45</v>
      </c>
      <c r="J298" s="81"/>
      <c r="K298" s="81"/>
      <c r="L298" s="81"/>
      <c r="M298" s="81"/>
      <c r="N298" s="81"/>
      <c r="O298" s="81"/>
      <c r="P298" s="41">
        <f t="shared" si="54"/>
        <v>45</v>
      </c>
      <c r="Q298" s="20">
        <v>1734</v>
      </c>
      <c r="R298" s="20">
        <f t="shared" si="55"/>
        <v>78030</v>
      </c>
      <c r="S298" s="81">
        <v>0</v>
      </c>
      <c r="T298" s="52">
        <f t="shared" si="51"/>
        <v>95</v>
      </c>
      <c r="U298" s="236">
        <f t="shared" si="56"/>
        <v>164730</v>
      </c>
      <c r="V298" s="114">
        <f t="shared" si="47"/>
        <v>0</v>
      </c>
      <c r="W298" s="122"/>
    </row>
    <row r="299" spans="1:27" s="89" customFormat="1" ht="24" customHeight="1" x14ac:dyDescent="0.3">
      <c r="A299" s="95" t="s">
        <v>270</v>
      </c>
      <c r="B299" s="81"/>
      <c r="C299" s="81"/>
      <c r="D299" s="81"/>
      <c r="E299" s="59"/>
      <c r="F299" s="97"/>
      <c r="G299" s="83">
        <f t="shared" ref="G299:G317" si="57">+F299*E299</f>
        <v>0</v>
      </c>
      <c r="H299" s="96"/>
      <c r="I299" s="231"/>
      <c r="J299" s="81"/>
      <c r="K299" s="81">
        <v>25</v>
      </c>
      <c r="L299" s="81"/>
      <c r="M299" s="81"/>
      <c r="N299" s="81"/>
      <c r="O299" s="81"/>
      <c r="P299" s="41">
        <f t="shared" si="54"/>
        <v>25</v>
      </c>
      <c r="Q299" s="20">
        <v>1653</v>
      </c>
      <c r="R299" s="20">
        <f t="shared" si="55"/>
        <v>41325</v>
      </c>
      <c r="S299" s="81">
        <v>19</v>
      </c>
      <c r="T299" s="52">
        <f t="shared" si="51"/>
        <v>25</v>
      </c>
      <c r="U299" s="236">
        <f t="shared" si="56"/>
        <v>41325</v>
      </c>
      <c r="V299" s="114">
        <f t="shared" si="47"/>
        <v>0</v>
      </c>
      <c r="W299" s="122"/>
    </row>
    <row r="300" spans="1:27" s="89" customFormat="1" ht="18.75" customHeight="1" x14ac:dyDescent="0.3">
      <c r="A300" s="121" t="s">
        <v>84</v>
      </c>
      <c r="B300" s="81"/>
      <c r="C300" s="81"/>
      <c r="D300" s="81">
        <v>0</v>
      </c>
      <c r="E300" s="59">
        <v>10</v>
      </c>
      <c r="F300" s="97">
        <v>9257</v>
      </c>
      <c r="G300" s="83">
        <f t="shared" si="57"/>
        <v>92570</v>
      </c>
      <c r="H300" s="96"/>
      <c r="I300" s="231"/>
      <c r="J300" s="81"/>
      <c r="K300" s="81">
        <v>3</v>
      </c>
      <c r="L300" s="81"/>
      <c r="M300" s="81"/>
      <c r="N300" s="81"/>
      <c r="O300" s="81"/>
      <c r="P300" s="41">
        <f t="shared" si="54"/>
        <v>3</v>
      </c>
      <c r="Q300" s="20">
        <v>9257</v>
      </c>
      <c r="R300" s="20">
        <f t="shared" si="55"/>
        <v>27771</v>
      </c>
      <c r="S300" s="81">
        <v>0</v>
      </c>
      <c r="T300" s="52">
        <f t="shared" si="51"/>
        <v>13</v>
      </c>
      <c r="U300" s="236">
        <f t="shared" si="56"/>
        <v>120341</v>
      </c>
      <c r="V300" s="114">
        <f t="shared" si="47"/>
        <v>0</v>
      </c>
      <c r="W300" s="122"/>
    </row>
    <row r="301" spans="1:27" s="89" customFormat="1" ht="18.75" customHeight="1" x14ac:dyDescent="0.3">
      <c r="A301" s="121" t="s">
        <v>85</v>
      </c>
      <c r="B301" s="81"/>
      <c r="C301" s="81"/>
      <c r="D301" s="81">
        <v>5</v>
      </c>
      <c r="E301" s="59">
        <v>10</v>
      </c>
      <c r="F301" s="97">
        <v>12505</v>
      </c>
      <c r="G301" s="83">
        <f t="shared" si="57"/>
        <v>125050</v>
      </c>
      <c r="H301" s="96"/>
      <c r="I301" s="231">
        <v>3</v>
      </c>
      <c r="J301" s="81"/>
      <c r="K301" s="81"/>
      <c r="L301" s="81"/>
      <c r="M301" s="81"/>
      <c r="N301" s="81"/>
      <c r="O301" s="81"/>
      <c r="P301" s="41">
        <f t="shared" si="54"/>
        <v>3</v>
      </c>
      <c r="Q301" s="97">
        <v>12505</v>
      </c>
      <c r="R301" s="20">
        <f t="shared" si="55"/>
        <v>37515</v>
      </c>
      <c r="S301" s="81">
        <v>5</v>
      </c>
      <c r="T301" s="52">
        <f t="shared" si="51"/>
        <v>13</v>
      </c>
      <c r="U301" s="236">
        <f t="shared" si="56"/>
        <v>162565</v>
      </c>
      <c r="V301" s="114">
        <f t="shared" si="47"/>
        <v>0</v>
      </c>
      <c r="W301" s="122"/>
    </row>
    <row r="302" spans="1:27" s="89" customFormat="1" ht="18.75" customHeight="1" x14ac:dyDescent="0.3">
      <c r="A302" s="121" t="s">
        <v>175</v>
      </c>
      <c r="B302" s="81"/>
      <c r="C302" s="81"/>
      <c r="D302" s="81">
        <v>0</v>
      </c>
      <c r="E302" s="59">
        <v>5</v>
      </c>
      <c r="F302" s="97">
        <v>8607</v>
      </c>
      <c r="G302" s="83">
        <f t="shared" si="57"/>
        <v>43035</v>
      </c>
      <c r="H302" s="96"/>
      <c r="I302" s="231">
        <v>10</v>
      </c>
      <c r="J302" s="81"/>
      <c r="K302" s="81"/>
      <c r="L302" s="81"/>
      <c r="M302" s="81"/>
      <c r="N302" s="81"/>
      <c r="O302" s="81"/>
      <c r="P302" s="41">
        <f t="shared" si="54"/>
        <v>10</v>
      </c>
      <c r="Q302" s="20">
        <v>8607</v>
      </c>
      <c r="R302" s="20">
        <f t="shared" si="55"/>
        <v>86070</v>
      </c>
      <c r="S302" s="81">
        <v>5</v>
      </c>
      <c r="T302" s="52">
        <f t="shared" si="51"/>
        <v>15</v>
      </c>
      <c r="U302" s="236">
        <f t="shared" si="56"/>
        <v>129105</v>
      </c>
      <c r="V302" s="114">
        <f t="shared" si="47"/>
        <v>0</v>
      </c>
      <c r="W302" s="122"/>
    </row>
    <row r="303" spans="1:27" s="89" customFormat="1" ht="18.75" customHeight="1" x14ac:dyDescent="0.3">
      <c r="A303" s="95" t="s">
        <v>176</v>
      </c>
      <c r="B303" s="81"/>
      <c r="C303" s="81"/>
      <c r="D303" s="81"/>
      <c r="E303" s="59"/>
      <c r="F303" s="97" t="s">
        <v>440</v>
      </c>
      <c r="G303" s="83"/>
      <c r="H303" s="96"/>
      <c r="I303" s="231"/>
      <c r="J303" s="81"/>
      <c r="K303" s="81">
        <f>80</f>
        <v>80</v>
      </c>
      <c r="L303" s="81"/>
      <c r="M303" s="81"/>
      <c r="N303" s="81"/>
      <c r="O303" s="81"/>
      <c r="P303" s="41">
        <f t="shared" si="54"/>
        <v>80</v>
      </c>
      <c r="Q303" s="20">
        <v>2436</v>
      </c>
      <c r="R303" s="20">
        <f t="shared" si="55"/>
        <v>194880</v>
      </c>
      <c r="S303" s="81">
        <v>140</v>
      </c>
      <c r="T303" s="52">
        <f t="shared" si="51"/>
        <v>80</v>
      </c>
      <c r="U303" s="236">
        <f t="shared" si="56"/>
        <v>194880</v>
      </c>
      <c r="V303" s="114">
        <f t="shared" si="47"/>
        <v>0</v>
      </c>
      <c r="W303" s="122"/>
    </row>
    <row r="304" spans="1:27" s="89" customFormat="1" ht="24" customHeight="1" x14ac:dyDescent="0.3">
      <c r="A304" s="90" t="s">
        <v>86</v>
      </c>
      <c r="B304" s="81"/>
      <c r="C304" s="81"/>
      <c r="D304" s="81"/>
      <c r="E304" s="59"/>
      <c r="F304" s="97"/>
      <c r="G304" s="83">
        <f t="shared" si="57"/>
        <v>0</v>
      </c>
      <c r="H304" s="96"/>
      <c r="I304" s="231">
        <v>20</v>
      </c>
      <c r="J304" s="81"/>
      <c r="K304" s="81">
        <v>2</v>
      </c>
      <c r="L304" s="81"/>
      <c r="M304" s="81"/>
      <c r="N304" s="81"/>
      <c r="O304" s="81"/>
      <c r="P304" s="41">
        <f t="shared" si="54"/>
        <v>22</v>
      </c>
      <c r="Q304" s="20">
        <v>19519</v>
      </c>
      <c r="R304" s="20">
        <f t="shared" si="55"/>
        <v>429418</v>
      </c>
      <c r="S304" s="81">
        <v>3</v>
      </c>
      <c r="T304" s="52">
        <f t="shared" si="51"/>
        <v>22</v>
      </c>
      <c r="U304" s="236">
        <f t="shared" si="56"/>
        <v>429418</v>
      </c>
      <c r="V304" s="114">
        <f t="shared" si="47"/>
        <v>0</v>
      </c>
      <c r="W304" s="122"/>
    </row>
    <row r="305" spans="1:24" s="89" customFormat="1" ht="18.75" customHeight="1" x14ac:dyDescent="0.3">
      <c r="A305" s="90" t="s">
        <v>337</v>
      </c>
      <c r="B305" s="81"/>
      <c r="C305" s="81"/>
      <c r="D305" s="81"/>
      <c r="E305" s="59"/>
      <c r="F305" s="97"/>
      <c r="G305" s="83">
        <f t="shared" si="57"/>
        <v>0</v>
      </c>
      <c r="H305" s="96"/>
      <c r="I305" s="231"/>
      <c r="J305" s="81"/>
      <c r="K305" s="81">
        <v>12</v>
      </c>
      <c r="L305" s="81"/>
      <c r="M305" s="81"/>
      <c r="N305" s="81"/>
      <c r="O305" s="81"/>
      <c r="P305" s="41">
        <f t="shared" si="54"/>
        <v>12</v>
      </c>
      <c r="Q305" s="20">
        <v>3898</v>
      </c>
      <c r="R305" s="20">
        <f t="shared" si="55"/>
        <v>46776</v>
      </c>
      <c r="S305" s="81">
        <v>0</v>
      </c>
      <c r="T305" s="52">
        <f t="shared" si="51"/>
        <v>12</v>
      </c>
      <c r="U305" s="236">
        <f t="shared" si="56"/>
        <v>46776</v>
      </c>
      <c r="V305" s="114">
        <f t="shared" si="47"/>
        <v>0</v>
      </c>
      <c r="W305" s="122"/>
    </row>
    <row r="306" spans="1:24" s="89" customFormat="1" ht="18.75" customHeight="1" x14ac:dyDescent="0.3">
      <c r="A306" s="95" t="s">
        <v>208</v>
      </c>
      <c r="B306" s="81"/>
      <c r="C306" s="81"/>
      <c r="D306" s="81">
        <v>3</v>
      </c>
      <c r="E306" s="59">
        <v>5</v>
      </c>
      <c r="F306" s="20">
        <v>14616</v>
      </c>
      <c r="G306" s="83">
        <f t="shared" si="57"/>
        <v>73080</v>
      </c>
      <c r="H306" s="96"/>
      <c r="I306" s="231">
        <v>5</v>
      </c>
      <c r="J306" s="81"/>
      <c r="K306" s="81">
        <v>3</v>
      </c>
      <c r="L306" s="81"/>
      <c r="M306" s="81"/>
      <c r="N306" s="81"/>
      <c r="O306" s="81"/>
      <c r="P306" s="41">
        <f t="shared" si="54"/>
        <v>8</v>
      </c>
      <c r="Q306" s="20">
        <v>14616</v>
      </c>
      <c r="R306" s="20">
        <f t="shared" si="55"/>
        <v>116928</v>
      </c>
      <c r="S306" s="81">
        <v>3</v>
      </c>
      <c r="T306" s="52">
        <f t="shared" si="51"/>
        <v>13</v>
      </c>
      <c r="U306" s="236">
        <f t="shared" si="56"/>
        <v>190008</v>
      </c>
      <c r="V306" s="114">
        <f t="shared" si="47"/>
        <v>0</v>
      </c>
      <c r="W306" s="122"/>
    </row>
    <row r="307" spans="1:24" s="89" customFormat="1" ht="18.75" customHeight="1" x14ac:dyDescent="0.3">
      <c r="A307" s="95" t="s">
        <v>87</v>
      </c>
      <c r="B307" s="81"/>
      <c r="C307" s="81"/>
      <c r="D307" s="81"/>
      <c r="E307" s="59"/>
      <c r="F307" s="97"/>
      <c r="G307" s="83">
        <f t="shared" si="57"/>
        <v>0</v>
      </c>
      <c r="H307" s="96"/>
      <c r="I307" s="231">
        <v>5</v>
      </c>
      <c r="J307" s="81"/>
      <c r="K307" s="81"/>
      <c r="L307" s="81"/>
      <c r="M307" s="81"/>
      <c r="N307" s="81"/>
      <c r="O307" s="81"/>
      <c r="P307" s="41">
        <f t="shared" si="54"/>
        <v>5</v>
      </c>
      <c r="Q307" s="20">
        <v>29232</v>
      </c>
      <c r="R307" s="20">
        <f t="shared" si="55"/>
        <v>146160</v>
      </c>
      <c r="S307" s="81">
        <v>1</v>
      </c>
      <c r="T307" s="52">
        <f t="shared" si="51"/>
        <v>5</v>
      </c>
      <c r="U307" s="236">
        <f t="shared" si="56"/>
        <v>146160</v>
      </c>
      <c r="V307" s="114">
        <f t="shared" si="47"/>
        <v>0</v>
      </c>
      <c r="W307" s="122"/>
    </row>
    <row r="308" spans="1:24" s="89" customFormat="1" ht="18.75" customHeight="1" x14ac:dyDescent="0.3">
      <c r="A308" s="121" t="s">
        <v>340</v>
      </c>
      <c r="B308" s="81"/>
      <c r="C308" s="81"/>
      <c r="D308" s="81"/>
      <c r="E308" s="59"/>
      <c r="F308" s="98"/>
      <c r="G308" s="83"/>
      <c r="H308" s="96"/>
      <c r="I308" s="231">
        <v>10</v>
      </c>
      <c r="J308" s="81"/>
      <c r="K308" s="81"/>
      <c r="L308" s="81"/>
      <c r="M308" s="81"/>
      <c r="N308" s="81"/>
      <c r="O308" s="81"/>
      <c r="P308" s="41">
        <f t="shared" si="54"/>
        <v>10</v>
      </c>
      <c r="Q308" s="20">
        <v>57684</v>
      </c>
      <c r="R308" s="20">
        <f>+Q308*P308</f>
        <v>576840</v>
      </c>
      <c r="S308" s="81">
        <v>0</v>
      </c>
      <c r="T308" s="52">
        <f t="shared" si="51"/>
        <v>10</v>
      </c>
      <c r="U308" s="236">
        <f>G308+R308</f>
        <v>576840</v>
      </c>
      <c r="V308" s="114">
        <f t="shared" si="47"/>
        <v>0</v>
      </c>
      <c r="W308" s="122"/>
      <c r="X308" s="123"/>
    </row>
    <row r="309" spans="1:24" s="89" customFormat="1" ht="24" customHeight="1" x14ac:dyDescent="0.3">
      <c r="A309" s="95" t="s">
        <v>278</v>
      </c>
      <c r="B309" s="81"/>
      <c r="C309" s="81"/>
      <c r="D309" s="81"/>
      <c r="E309" s="59"/>
      <c r="F309" s="97"/>
      <c r="G309" s="83">
        <f t="shared" si="57"/>
        <v>0</v>
      </c>
      <c r="H309" s="96"/>
      <c r="I309" s="231"/>
      <c r="J309" s="81"/>
      <c r="K309" s="81">
        <v>2</v>
      </c>
      <c r="L309" s="81"/>
      <c r="M309" s="81"/>
      <c r="N309" s="81"/>
      <c r="O309" s="81"/>
      <c r="P309" s="41">
        <f t="shared" si="54"/>
        <v>2</v>
      </c>
      <c r="Q309" s="20">
        <f>25900*1.16</f>
        <v>30043.999999999996</v>
      </c>
      <c r="R309" s="20">
        <f t="shared" si="55"/>
        <v>60087.999999999993</v>
      </c>
      <c r="S309" s="81">
        <v>4</v>
      </c>
      <c r="T309" s="52">
        <f t="shared" si="51"/>
        <v>2</v>
      </c>
      <c r="U309" s="236">
        <f t="shared" si="56"/>
        <v>60087.999999999993</v>
      </c>
      <c r="V309" s="114">
        <f t="shared" si="47"/>
        <v>0</v>
      </c>
      <c r="W309" s="122"/>
    </row>
    <row r="310" spans="1:24" s="89" customFormat="1" ht="18.75" customHeight="1" x14ac:dyDescent="0.3">
      <c r="A310" s="95" t="s">
        <v>88</v>
      </c>
      <c r="B310" s="81"/>
      <c r="C310" s="81"/>
      <c r="D310" s="81"/>
      <c r="E310" s="59"/>
      <c r="F310" s="97"/>
      <c r="G310" s="83">
        <f t="shared" si="57"/>
        <v>0</v>
      </c>
      <c r="H310" s="96"/>
      <c r="I310" s="231"/>
      <c r="J310" s="81"/>
      <c r="K310" s="81">
        <v>2</v>
      </c>
      <c r="L310" s="81"/>
      <c r="M310" s="81"/>
      <c r="N310" s="81"/>
      <c r="O310" s="81"/>
      <c r="P310" s="41">
        <f t="shared" si="54"/>
        <v>2</v>
      </c>
      <c r="Q310" s="20">
        <f>11200*1.16</f>
        <v>12992</v>
      </c>
      <c r="R310" s="20">
        <f t="shared" si="55"/>
        <v>25984</v>
      </c>
      <c r="S310" s="81">
        <v>1</v>
      </c>
      <c r="T310" s="52">
        <f t="shared" si="51"/>
        <v>2</v>
      </c>
      <c r="U310" s="236">
        <f t="shared" si="56"/>
        <v>25984</v>
      </c>
      <c r="V310" s="114">
        <f t="shared" si="47"/>
        <v>0</v>
      </c>
      <c r="W310" s="122"/>
    </row>
    <row r="311" spans="1:24" s="89" customFormat="1" ht="18.75" customHeight="1" x14ac:dyDescent="0.3">
      <c r="A311" s="95" t="s">
        <v>89</v>
      </c>
      <c r="B311" s="81"/>
      <c r="C311" s="81"/>
      <c r="D311" s="81"/>
      <c r="E311" s="59"/>
      <c r="F311" s="97"/>
      <c r="G311" s="83">
        <f t="shared" si="57"/>
        <v>0</v>
      </c>
      <c r="H311" s="96"/>
      <c r="I311" s="231"/>
      <c r="J311" s="81"/>
      <c r="K311" s="81">
        <v>2</v>
      </c>
      <c r="L311" s="81"/>
      <c r="M311" s="81"/>
      <c r="N311" s="81"/>
      <c r="O311" s="81"/>
      <c r="P311" s="41">
        <f t="shared" si="54"/>
        <v>2</v>
      </c>
      <c r="Q311" s="20">
        <f>36680*1.16</f>
        <v>42548.799999999996</v>
      </c>
      <c r="R311" s="20">
        <f t="shared" si="55"/>
        <v>85097.599999999991</v>
      </c>
      <c r="S311" s="81">
        <v>4</v>
      </c>
      <c r="T311" s="52">
        <f t="shared" si="51"/>
        <v>2</v>
      </c>
      <c r="U311" s="236">
        <f t="shared" si="56"/>
        <v>85097.599999999991</v>
      </c>
      <c r="V311" s="114">
        <f t="shared" si="47"/>
        <v>0</v>
      </c>
      <c r="W311" s="122"/>
    </row>
    <row r="312" spans="1:24" s="89" customFormat="1" ht="18.75" customHeight="1" x14ac:dyDescent="0.3">
      <c r="A312" s="80" t="s">
        <v>90</v>
      </c>
      <c r="B312" s="81"/>
      <c r="C312" s="81"/>
      <c r="D312" s="81">
        <v>290</v>
      </c>
      <c r="E312" s="59">
        <v>0</v>
      </c>
      <c r="F312" s="97">
        <v>0</v>
      </c>
      <c r="G312" s="83">
        <f t="shared" si="57"/>
        <v>0</v>
      </c>
      <c r="H312" s="96"/>
      <c r="I312" s="231">
        <v>150</v>
      </c>
      <c r="J312" s="81"/>
      <c r="K312" s="81">
        <v>80</v>
      </c>
      <c r="L312" s="81"/>
      <c r="M312" s="81"/>
      <c r="N312" s="81"/>
      <c r="O312" s="81"/>
      <c r="P312" s="41">
        <f t="shared" si="54"/>
        <v>230</v>
      </c>
      <c r="Q312" s="20">
        <v>1786</v>
      </c>
      <c r="R312" s="20">
        <f t="shared" si="55"/>
        <v>410780</v>
      </c>
      <c r="S312" s="81">
        <v>290</v>
      </c>
      <c r="T312" s="52">
        <f t="shared" si="51"/>
        <v>230</v>
      </c>
      <c r="U312" s="236">
        <f t="shared" si="56"/>
        <v>410780</v>
      </c>
      <c r="V312" s="114">
        <f t="shared" si="47"/>
        <v>0</v>
      </c>
      <c r="W312" s="122"/>
    </row>
    <row r="313" spans="1:24" s="89" customFormat="1" ht="18.75" customHeight="1" x14ac:dyDescent="0.3">
      <c r="A313" s="80" t="s">
        <v>277</v>
      </c>
      <c r="B313" s="81"/>
      <c r="C313" s="81"/>
      <c r="D313" s="81"/>
      <c r="E313" s="59"/>
      <c r="F313" s="97"/>
      <c r="G313" s="83">
        <f t="shared" si="57"/>
        <v>0</v>
      </c>
      <c r="H313" s="96"/>
      <c r="I313" s="231"/>
      <c r="J313" s="81"/>
      <c r="K313" s="81">
        <v>1</v>
      </c>
      <c r="L313" s="81"/>
      <c r="M313" s="81"/>
      <c r="N313" s="81"/>
      <c r="O313" s="81"/>
      <c r="P313" s="41">
        <f t="shared" si="54"/>
        <v>1</v>
      </c>
      <c r="Q313" s="20">
        <v>71456</v>
      </c>
      <c r="R313" s="20">
        <f t="shared" si="55"/>
        <v>71456</v>
      </c>
      <c r="S313" s="81">
        <v>0</v>
      </c>
      <c r="T313" s="52">
        <f t="shared" si="51"/>
        <v>1</v>
      </c>
      <c r="U313" s="236">
        <f t="shared" si="56"/>
        <v>71456</v>
      </c>
      <c r="V313" s="114">
        <f t="shared" si="47"/>
        <v>0</v>
      </c>
      <c r="W313" s="122"/>
    </row>
    <row r="314" spans="1:24" s="89" customFormat="1" ht="18.75" customHeight="1" x14ac:dyDescent="0.3">
      <c r="A314" s="80" t="s">
        <v>327</v>
      </c>
      <c r="B314" s="81"/>
      <c r="C314" s="81"/>
      <c r="D314" s="81"/>
      <c r="E314" s="59"/>
      <c r="F314" s="97"/>
      <c r="G314" s="83">
        <f t="shared" si="57"/>
        <v>0</v>
      </c>
      <c r="H314" s="96"/>
      <c r="I314" s="231">
        <v>1</v>
      </c>
      <c r="J314" s="81"/>
      <c r="K314" s="81"/>
      <c r="L314" s="81"/>
      <c r="M314" s="81"/>
      <c r="N314" s="81"/>
      <c r="O314" s="81"/>
      <c r="P314" s="41">
        <f t="shared" si="54"/>
        <v>1</v>
      </c>
      <c r="Q314" s="20">
        <v>336542</v>
      </c>
      <c r="R314" s="20">
        <f t="shared" si="55"/>
        <v>336542</v>
      </c>
      <c r="S314" s="81">
        <v>0</v>
      </c>
      <c r="T314" s="52">
        <f t="shared" si="51"/>
        <v>1</v>
      </c>
      <c r="U314" s="236">
        <f t="shared" si="56"/>
        <v>336542</v>
      </c>
      <c r="V314" s="114">
        <f t="shared" si="47"/>
        <v>0</v>
      </c>
      <c r="W314" s="122"/>
    </row>
    <row r="315" spans="1:24" s="89" customFormat="1" ht="24" customHeight="1" x14ac:dyDescent="0.3">
      <c r="A315" s="80" t="s">
        <v>279</v>
      </c>
      <c r="B315" s="81"/>
      <c r="C315" s="81"/>
      <c r="D315" s="81"/>
      <c r="E315" s="59"/>
      <c r="F315" s="97"/>
      <c r="G315" s="83">
        <f t="shared" si="57"/>
        <v>0</v>
      </c>
      <c r="H315" s="96"/>
      <c r="I315" s="231"/>
      <c r="J315" s="81"/>
      <c r="K315" s="81">
        <v>1</v>
      </c>
      <c r="L315" s="81"/>
      <c r="M315" s="81"/>
      <c r="N315" s="81"/>
      <c r="O315" s="81"/>
      <c r="P315" s="41">
        <f t="shared" si="54"/>
        <v>1</v>
      </c>
      <c r="Q315" s="20">
        <v>121800</v>
      </c>
      <c r="R315" s="20">
        <f t="shared" si="55"/>
        <v>121800</v>
      </c>
      <c r="S315" s="81">
        <v>0</v>
      </c>
      <c r="T315" s="52">
        <f t="shared" si="51"/>
        <v>1</v>
      </c>
      <c r="U315" s="236">
        <f t="shared" si="56"/>
        <v>121800</v>
      </c>
      <c r="V315" s="114">
        <f t="shared" si="47"/>
        <v>0</v>
      </c>
      <c r="W315" s="122"/>
    </row>
    <row r="316" spans="1:24" s="89" customFormat="1" ht="18.75" customHeight="1" x14ac:dyDescent="0.3">
      <c r="A316" s="80" t="s">
        <v>274</v>
      </c>
      <c r="B316" s="81"/>
      <c r="C316" s="81"/>
      <c r="D316" s="81"/>
      <c r="E316" s="59"/>
      <c r="F316" s="97"/>
      <c r="G316" s="83">
        <f t="shared" si="57"/>
        <v>0</v>
      </c>
      <c r="H316" s="96"/>
      <c r="I316" s="231"/>
      <c r="J316" s="81"/>
      <c r="K316" s="81">
        <v>18</v>
      </c>
      <c r="L316" s="81"/>
      <c r="M316" s="81"/>
      <c r="N316" s="81"/>
      <c r="O316" s="81"/>
      <c r="P316" s="41">
        <f t="shared" si="54"/>
        <v>18</v>
      </c>
      <c r="Q316" s="20">
        <v>14941</v>
      </c>
      <c r="R316" s="20">
        <f t="shared" si="55"/>
        <v>268938</v>
      </c>
      <c r="S316" s="81">
        <v>34</v>
      </c>
      <c r="T316" s="52">
        <f t="shared" si="51"/>
        <v>18</v>
      </c>
      <c r="U316" s="236">
        <f t="shared" si="56"/>
        <v>268938</v>
      </c>
      <c r="V316" s="114">
        <f t="shared" si="47"/>
        <v>0</v>
      </c>
      <c r="W316" s="122"/>
    </row>
    <row r="317" spans="1:24" s="89" customFormat="1" ht="18.75" customHeight="1" x14ac:dyDescent="0.3">
      <c r="A317" s="95" t="s">
        <v>281</v>
      </c>
      <c r="B317" s="81"/>
      <c r="C317" s="81"/>
      <c r="D317" s="81"/>
      <c r="E317" s="59"/>
      <c r="F317" s="97"/>
      <c r="G317" s="83">
        <f t="shared" si="57"/>
        <v>0</v>
      </c>
      <c r="H317" s="96"/>
      <c r="I317" s="231"/>
      <c r="J317" s="81"/>
      <c r="K317" s="81">
        <v>2</v>
      </c>
      <c r="L317" s="81"/>
      <c r="M317" s="81"/>
      <c r="N317" s="81"/>
      <c r="O317" s="81"/>
      <c r="P317" s="41">
        <f t="shared" si="54"/>
        <v>2</v>
      </c>
      <c r="Q317" s="20">
        <v>24360</v>
      </c>
      <c r="R317" s="20">
        <f t="shared" si="55"/>
        <v>48720</v>
      </c>
      <c r="S317" s="81">
        <v>0</v>
      </c>
      <c r="T317" s="52">
        <f t="shared" si="51"/>
        <v>2</v>
      </c>
      <c r="U317" s="236">
        <f t="shared" si="56"/>
        <v>48720</v>
      </c>
      <c r="V317" s="114">
        <f t="shared" si="47"/>
        <v>0</v>
      </c>
      <c r="W317" s="122"/>
    </row>
    <row r="318" spans="1:24" s="89" customFormat="1" ht="18.75" customHeight="1" x14ac:dyDescent="0.3">
      <c r="A318" s="95" t="s">
        <v>282</v>
      </c>
      <c r="B318" s="81"/>
      <c r="C318" s="81"/>
      <c r="D318" s="81"/>
      <c r="E318" s="59"/>
      <c r="F318" s="97"/>
      <c r="G318" s="83"/>
      <c r="H318" s="96"/>
      <c r="I318" s="231"/>
      <c r="J318" s="81"/>
      <c r="K318" s="81">
        <v>2</v>
      </c>
      <c r="L318" s="81"/>
      <c r="M318" s="81"/>
      <c r="N318" s="81"/>
      <c r="O318" s="81"/>
      <c r="P318" s="41">
        <f t="shared" si="54"/>
        <v>2</v>
      </c>
      <c r="Q318" s="20">
        <v>16240</v>
      </c>
      <c r="R318" s="20">
        <f t="shared" si="55"/>
        <v>32480</v>
      </c>
      <c r="S318" s="81">
        <v>0</v>
      </c>
      <c r="T318" s="52">
        <f t="shared" si="51"/>
        <v>2</v>
      </c>
      <c r="U318" s="236">
        <f t="shared" si="56"/>
        <v>32480</v>
      </c>
      <c r="V318" s="114">
        <f t="shared" si="47"/>
        <v>0</v>
      </c>
      <c r="W318" s="122"/>
    </row>
    <row r="319" spans="1:24" s="89" customFormat="1" ht="18.75" customHeight="1" x14ac:dyDescent="0.3">
      <c r="A319" s="95" t="s">
        <v>283</v>
      </c>
      <c r="B319" s="81"/>
      <c r="C319" s="81"/>
      <c r="D319" s="81"/>
      <c r="E319" s="59"/>
      <c r="F319" s="97"/>
      <c r="G319" s="83"/>
      <c r="H319" s="96"/>
      <c r="I319" s="231"/>
      <c r="J319" s="81"/>
      <c r="K319" s="81">
        <v>1</v>
      </c>
      <c r="L319" s="81"/>
      <c r="M319" s="81"/>
      <c r="N319" s="81"/>
      <c r="O319" s="81"/>
      <c r="P319" s="41">
        <f t="shared" si="54"/>
        <v>1</v>
      </c>
      <c r="Q319" s="20">
        <v>17864</v>
      </c>
      <c r="R319" s="20">
        <f t="shared" si="55"/>
        <v>17864</v>
      </c>
      <c r="S319" s="81">
        <v>0</v>
      </c>
      <c r="T319" s="52">
        <f t="shared" si="51"/>
        <v>1</v>
      </c>
      <c r="U319" s="236">
        <f t="shared" si="56"/>
        <v>17864</v>
      </c>
      <c r="V319" s="114">
        <f t="shared" si="47"/>
        <v>0</v>
      </c>
      <c r="W319" s="122"/>
    </row>
    <row r="320" spans="1:24" s="89" customFormat="1" ht="18.75" customHeight="1" x14ac:dyDescent="0.3">
      <c r="A320" s="90" t="s">
        <v>172</v>
      </c>
      <c r="B320" s="81"/>
      <c r="C320" s="81"/>
      <c r="D320" s="81">
        <v>3.5</v>
      </c>
      <c r="E320" s="59">
        <v>105</v>
      </c>
      <c r="F320" s="97">
        <v>6670</v>
      </c>
      <c r="G320" s="83">
        <f>+F320*E320</f>
        <v>700350</v>
      </c>
      <c r="H320" s="96"/>
      <c r="I320" s="231">
        <v>213</v>
      </c>
      <c r="J320" s="81"/>
      <c r="K320" s="81">
        <v>82</v>
      </c>
      <c r="L320" s="81"/>
      <c r="M320" s="81"/>
      <c r="N320" s="81"/>
      <c r="O320" s="81"/>
      <c r="P320" s="41">
        <f t="shared" si="54"/>
        <v>295</v>
      </c>
      <c r="Q320" s="20">
        <v>6670</v>
      </c>
      <c r="R320" s="20">
        <f>+Q320*P320</f>
        <v>1967650</v>
      </c>
      <c r="S320" s="81">
        <v>3.5</v>
      </c>
      <c r="T320" s="52">
        <f t="shared" si="51"/>
        <v>400</v>
      </c>
      <c r="U320" s="236">
        <f>+R320+G320</f>
        <v>2668000</v>
      </c>
      <c r="V320" s="114">
        <f t="shared" si="47"/>
        <v>0</v>
      </c>
      <c r="W320" s="122"/>
    </row>
    <row r="321" spans="1:24" s="89" customFormat="1" ht="18" customHeight="1" x14ac:dyDescent="0.3">
      <c r="A321" s="90" t="s">
        <v>442</v>
      </c>
      <c r="B321" s="81"/>
      <c r="C321" s="81"/>
      <c r="D321" s="81">
        <v>6</v>
      </c>
      <c r="E321" s="59"/>
      <c r="F321" s="97"/>
      <c r="G321" s="83">
        <f>+F321*E321</f>
        <v>0</v>
      </c>
      <c r="H321" s="96"/>
      <c r="I321" s="231">
        <v>800</v>
      </c>
      <c r="J321" s="81"/>
      <c r="K321" s="81"/>
      <c r="L321" s="81"/>
      <c r="M321" s="81"/>
      <c r="N321" s="81"/>
      <c r="O321" s="81"/>
      <c r="P321" s="41">
        <f t="shared" si="54"/>
        <v>800</v>
      </c>
      <c r="Q321" s="97">
        <f>10400*1.16</f>
        <v>12064</v>
      </c>
      <c r="R321" s="20">
        <f>+Q321*P321</f>
        <v>9651200</v>
      </c>
      <c r="S321" s="81">
        <v>5</v>
      </c>
      <c r="T321" s="52">
        <f t="shared" si="51"/>
        <v>800</v>
      </c>
      <c r="U321" s="236">
        <f>+R321+G321</f>
        <v>9651200</v>
      </c>
      <c r="V321" s="114">
        <f t="shared" si="47"/>
        <v>0</v>
      </c>
      <c r="W321" s="122"/>
    </row>
    <row r="322" spans="1:24" s="89" customFormat="1" ht="18" customHeight="1" x14ac:dyDescent="0.3">
      <c r="A322" s="90" t="s">
        <v>441</v>
      </c>
      <c r="B322" s="81"/>
      <c r="C322" s="81"/>
      <c r="D322" s="81"/>
      <c r="E322" s="59"/>
      <c r="F322" s="97"/>
      <c r="G322" s="83">
        <f>+F322*E322</f>
        <v>0</v>
      </c>
      <c r="H322" s="96"/>
      <c r="I322" s="231">
        <v>200</v>
      </c>
      <c r="J322" s="81"/>
      <c r="K322" s="81"/>
      <c r="L322" s="81"/>
      <c r="M322" s="81"/>
      <c r="N322" s="81"/>
      <c r="O322" s="81"/>
      <c r="P322" s="41">
        <f t="shared" si="54"/>
        <v>200</v>
      </c>
      <c r="Q322" s="97">
        <f>2645*1.16</f>
        <v>3068.2</v>
      </c>
      <c r="R322" s="20">
        <f>+Q322*P322</f>
        <v>613640</v>
      </c>
      <c r="S322" s="81"/>
      <c r="T322" s="52">
        <f t="shared" si="51"/>
        <v>200</v>
      </c>
      <c r="U322" s="236">
        <f>+R322+G322</f>
        <v>613640</v>
      </c>
      <c r="V322" s="114">
        <f t="shared" si="47"/>
        <v>0</v>
      </c>
      <c r="W322" s="122"/>
    </row>
    <row r="323" spans="1:24" s="89" customFormat="1" ht="18" customHeight="1" x14ac:dyDescent="0.3">
      <c r="A323" s="90" t="s">
        <v>443</v>
      </c>
      <c r="B323" s="81"/>
      <c r="C323" s="81"/>
      <c r="D323" s="81"/>
      <c r="E323" s="59"/>
      <c r="F323" s="85"/>
      <c r="G323" s="83"/>
      <c r="H323" s="96"/>
      <c r="I323" s="231">
        <v>600</v>
      </c>
      <c r="J323" s="81"/>
      <c r="K323" s="81"/>
      <c r="L323" s="81"/>
      <c r="M323" s="81"/>
      <c r="N323" s="81"/>
      <c r="O323" s="81"/>
      <c r="P323" s="41">
        <f t="shared" si="54"/>
        <v>600</v>
      </c>
      <c r="Q323" s="20">
        <f>1240*1.16</f>
        <v>1438.3999999999999</v>
      </c>
      <c r="R323" s="20">
        <f>P323*Q323</f>
        <v>863039.99999999988</v>
      </c>
      <c r="S323" s="81">
        <v>0</v>
      </c>
      <c r="T323" s="52">
        <f t="shared" si="51"/>
        <v>600</v>
      </c>
      <c r="U323" s="236">
        <f>+R323+G323</f>
        <v>863039.99999999988</v>
      </c>
      <c r="V323" s="114">
        <f t="shared" si="47"/>
        <v>0</v>
      </c>
      <c r="W323" s="122"/>
    </row>
    <row r="324" spans="1:24" s="89" customFormat="1" ht="16.5" customHeight="1" x14ac:dyDescent="0.3">
      <c r="A324" s="95" t="s">
        <v>98</v>
      </c>
      <c r="B324" s="81"/>
      <c r="C324" s="81"/>
      <c r="D324" s="81">
        <v>80</v>
      </c>
      <c r="E324" s="59">
        <v>150</v>
      </c>
      <c r="F324" s="97">
        <v>27647</v>
      </c>
      <c r="G324" s="83">
        <f>+F324*E324</f>
        <v>4147050</v>
      </c>
      <c r="H324" s="96"/>
      <c r="I324" s="231"/>
      <c r="J324" s="81"/>
      <c r="K324" s="81"/>
      <c r="L324" s="81"/>
      <c r="M324" s="81"/>
      <c r="N324" s="81"/>
      <c r="O324" s="81"/>
      <c r="P324" s="81"/>
      <c r="Q324" s="20"/>
      <c r="R324" s="20">
        <f>P324*Q324</f>
        <v>0</v>
      </c>
      <c r="S324" s="81"/>
      <c r="T324" s="52">
        <f t="shared" si="51"/>
        <v>150</v>
      </c>
      <c r="U324" s="236">
        <f>+T324*F324</f>
        <v>4147050</v>
      </c>
      <c r="V324" s="114">
        <f t="shared" si="47"/>
        <v>0</v>
      </c>
      <c r="W324" s="122"/>
      <c r="X324" s="124"/>
    </row>
    <row r="325" spans="1:24" s="89" customFormat="1" ht="16.5" customHeight="1" x14ac:dyDescent="0.3">
      <c r="A325" s="136" t="s">
        <v>91</v>
      </c>
      <c r="B325" s="81"/>
      <c r="C325" s="81"/>
      <c r="D325" s="81"/>
      <c r="E325" s="59"/>
      <c r="F325" s="97"/>
      <c r="G325" s="99">
        <f>SUM(G285:G324)</f>
        <v>11378218.84</v>
      </c>
      <c r="H325" s="96"/>
      <c r="I325" s="231"/>
      <c r="J325" s="81"/>
      <c r="K325" s="81"/>
      <c r="L325" s="81"/>
      <c r="M325" s="81"/>
      <c r="N325" s="81"/>
      <c r="O325" s="81"/>
      <c r="P325" s="81"/>
      <c r="Q325" s="20"/>
      <c r="R325" s="100">
        <f>SUM(R285:R324)</f>
        <v>29909685.479999997</v>
      </c>
      <c r="S325" s="81"/>
      <c r="T325" s="44"/>
      <c r="U325" s="241">
        <f>SUM(U285:U324)</f>
        <v>41287904.32</v>
      </c>
      <c r="V325" s="114">
        <f t="shared" si="47"/>
        <v>0</v>
      </c>
      <c r="W325" s="122"/>
    </row>
    <row r="326" spans="1:24" s="89" customFormat="1" ht="16.5" customHeight="1" x14ac:dyDescent="0.3">
      <c r="A326" s="136" t="s">
        <v>92</v>
      </c>
      <c r="B326" s="81"/>
      <c r="C326" s="81"/>
      <c r="D326" s="81"/>
      <c r="E326" s="59"/>
      <c r="F326" s="97"/>
      <c r="G326" s="83"/>
      <c r="H326" s="96"/>
      <c r="I326" s="231"/>
      <c r="J326" s="81"/>
      <c r="K326" s="81"/>
      <c r="L326" s="81"/>
      <c r="M326" s="81"/>
      <c r="N326" s="81"/>
      <c r="O326" s="81"/>
      <c r="P326" s="81"/>
      <c r="Q326" s="20"/>
      <c r="R326" s="20"/>
      <c r="S326" s="81"/>
      <c r="T326" s="44"/>
      <c r="U326" s="236"/>
      <c r="V326" s="114">
        <f t="shared" si="47"/>
        <v>0</v>
      </c>
      <c r="W326" s="122"/>
    </row>
    <row r="327" spans="1:24" s="89" customFormat="1" ht="18.75" customHeight="1" x14ac:dyDescent="0.3">
      <c r="A327" s="90" t="s">
        <v>93</v>
      </c>
      <c r="B327" s="81"/>
      <c r="C327" s="81"/>
      <c r="D327" s="81">
        <v>6035</v>
      </c>
      <c r="E327" s="59">
        <v>500</v>
      </c>
      <c r="F327" s="97">
        <v>1342</v>
      </c>
      <c r="G327" s="83">
        <f>+E327*F327</f>
        <v>671000</v>
      </c>
      <c r="H327" s="96"/>
      <c r="I327" s="231"/>
      <c r="J327" s="81"/>
      <c r="K327" s="81"/>
      <c r="L327" s="81"/>
      <c r="M327" s="81"/>
      <c r="N327" s="81"/>
      <c r="O327" s="81"/>
      <c r="P327" s="81"/>
      <c r="Q327" s="20"/>
      <c r="R327" s="20">
        <f>+Q327*P327</f>
        <v>0</v>
      </c>
      <c r="S327" s="81">
        <v>6035</v>
      </c>
      <c r="T327" s="52">
        <f>+E327+P327</f>
        <v>500</v>
      </c>
      <c r="U327" s="236">
        <f>+T327*F327</f>
        <v>671000</v>
      </c>
      <c r="V327" s="114">
        <f t="shared" ref="V327:V390" si="58">+G327+R327-U327</f>
        <v>0</v>
      </c>
      <c r="W327" s="122"/>
    </row>
    <row r="328" spans="1:24" s="89" customFormat="1" ht="24" customHeight="1" x14ac:dyDescent="0.3">
      <c r="A328" s="90" t="s">
        <v>94</v>
      </c>
      <c r="B328" s="81"/>
      <c r="C328" s="81"/>
      <c r="D328" s="81"/>
      <c r="E328" s="59"/>
      <c r="F328" s="97"/>
      <c r="G328" s="83"/>
      <c r="H328" s="96"/>
      <c r="I328" s="231"/>
      <c r="J328" s="81"/>
      <c r="K328" s="81">
        <v>900</v>
      </c>
      <c r="L328" s="81"/>
      <c r="M328" s="81"/>
      <c r="N328" s="81"/>
      <c r="O328" s="81"/>
      <c r="P328" s="41">
        <f>SUBTOTAL(9,I328:O328)</f>
        <v>900</v>
      </c>
      <c r="Q328" s="20">
        <f>19800*1.16</f>
        <v>22968</v>
      </c>
      <c r="R328" s="20">
        <f>+Q328*P328</f>
        <v>20671200</v>
      </c>
      <c r="S328" s="81">
        <v>0</v>
      </c>
      <c r="T328" s="52">
        <f>+E328+P328</f>
        <v>900</v>
      </c>
      <c r="U328" s="236">
        <f>+R328+G328</f>
        <v>20671200</v>
      </c>
      <c r="V328" s="114">
        <f t="shared" si="58"/>
        <v>0</v>
      </c>
      <c r="W328" s="122"/>
    </row>
    <row r="329" spans="1:24" s="89" customFormat="1" ht="24" customHeight="1" x14ac:dyDescent="0.3">
      <c r="A329" s="90" t="s">
        <v>473</v>
      </c>
      <c r="B329" s="81"/>
      <c r="C329" s="81"/>
      <c r="D329" s="81"/>
      <c r="E329" s="59"/>
      <c r="F329" s="97"/>
      <c r="G329" s="83"/>
      <c r="H329" s="96"/>
      <c r="I329" s="231"/>
      <c r="J329" s="81"/>
      <c r="K329" s="81">
        <v>50</v>
      </c>
      <c r="L329" s="81"/>
      <c r="M329" s="81"/>
      <c r="N329" s="81"/>
      <c r="O329" s="81"/>
      <c r="P329" s="41">
        <f>SUBTOTAL(9,I329:O329)</f>
        <v>50</v>
      </c>
      <c r="Q329" s="20">
        <f>3800*1.16</f>
        <v>4408</v>
      </c>
      <c r="R329" s="20">
        <f>+Q329*P329</f>
        <v>220400</v>
      </c>
      <c r="S329" s="81">
        <v>0</v>
      </c>
      <c r="T329" s="52">
        <f>+E329+P329</f>
        <v>50</v>
      </c>
      <c r="U329" s="236">
        <f>+R329+G329</f>
        <v>220400</v>
      </c>
      <c r="V329" s="114">
        <f t="shared" si="58"/>
        <v>0</v>
      </c>
      <c r="W329" s="122"/>
    </row>
    <row r="330" spans="1:24" s="89" customFormat="1" ht="30.75" customHeight="1" x14ac:dyDescent="0.3">
      <c r="A330" s="90" t="s">
        <v>474</v>
      </c>
      <c r="B330" s="81"/>
      <c r="C330" s="81"/>
      <c r="D330" s="81"/>
      <c r="E330" s="59"/>
      <c r="F330" s="97"/>
      <c r="G330" s="83"/>
      <c r="H330" s="96"/>
      <c r="I330" s="231">
        <v>1</v>
      </c>
      <c r="J330" s="81"/>
      <c r="K330" s="81"/>
      <c r="L330" s="81"/>
      <c r="M330" s="81"/>
      <c r="N330" s="81"/>
      <c r="O330" s="81"/>
      <c r="P330" s="41">
        <f>SUBTOTAL(9,I330:O330)</f>
        <v>1</v>
      </c>
      <c r="Q330" s="20">
        <f>1102069*1.16</f>
        <v>1278400.0399999998</v>
      </c>
      <c r="R330" s="20">
        <f>+Q330*P330</f>
        <v>1278400.0399999998</v>
      </c>
      <c r="S330" s="81">
        <v>0</v>
      </c>
      <c r="T330" s="52">
        <f>+E330+P330</f>
        <v>1</v>
      </c>
      <c r="U330" s="236">
        <f>+R330+G330</f>
        <v>1278400.0399999998</v>
      </c>
      <c r="V330" s="114">
        <f t="shared" si="58"/>
        <v>0</v>
      </c>
      <c r="W330" s="122"/>
    </row>
    <row r="331" spans="1:24" s="89" customFormat="1" ht="18.75" customHeight="1" x14ac:dyDescent="0.3">
      <c r="A331" s="90" t="s">
        <v>419</v>
      </c>
      <c r="B331" s="81"/>
      <c r="C331" s="81"/>
      <c r="D331" s="81"/>
      <c r="E331" s="59"/>
      <c r="F331" s="97"/>
      <c r="G331" s="83"/>
      <c r="H331" s="96"/>
      <c r="I331" s="231">
        <v>1</v>
      </c>
      <c r="J331" s="81"/>
      <c r="K331" s="81"/>
      <c r="L331" s="81"/>
      <c r="M331" s="81"/>
      <c r="N331" s="81"/>
      <c r="O331" s="81"/>
      <c r="P331" s="41">
        <f>SUBTOTAL(9,I331:O331)</f>
        <v>1</v>
      </c>
      <c r="Q331" s="20">
        <v>38789038</v>
      </c>
      <c r="R331" s="20">
        <f>+Q331*P331</f>
        <v>38789038</v>
      </c>
      <c r="S331" s="81">
        <v>0</v>
      </c>
      <c r="T331" s="52">
        <f>+E331+P331</f>
        <v>1</v>
      </c>
      <c r="U331" s="236">
        <f>+T331*Q331</f>
        <v>38789038</v>
      </c>
      <c r="V331" s="114">
        <f t="shared" si="58"/>
        <v>0</v>
      </c>
      <c r="W331" s="122"/>
    </row>
    <row r="332" spans="1:24" s="89" customFormat="1" ht="16.5" customHeight="1" x14ac:dyDescent="0.3">
      <c r="A332" s="136" t="s">
        <v>95</v>
      </c>
      <c r="B332" s="81"/>
      <c r="C332" s="81"/>
      <c r="D332" s="81"/>
      <c r="E332" s="59"/>
      <c r="F332" s="97"/>
      <c r="G332" s="99">
        <f>SUM(G327:G331)</f>
        <v>671000</v>
      </c>
      <c r="H332" s="96"/>
      <c r="I332" s="231"/>
      <c r="J332" s="81"/>
      <c r="K332" s="81"/>
      <c r="L332" s="81"/>
      <c r="M332" s="81"/>
      <c r="N332" s="81"/>
      <c r="O332" s="81"/>
      <c r="P332" s="81"/>
      <c r="Q332" s="81"/>
      <c r="R332" s="100">
        <f>SUM(R327:R331)</f>
        <v>60959038.039999999</v>
      </c>
      <c r="S332" s="81"/>
      <c r="T332" s="81"/>
      <c r="U332" s="241">
        <f>SUM(U327:U331)</f>
        <v>61630038.039999999</v>
      </c>
      <c r="V332" s="114">
        <f t="shared" si="58"/>
        <v>0</v>
      </c>
      <c r="W332" s="122"/>
    </row>
    <row r="333" spans="1:24" s="89" customFormat="1" ht="16.5" customHeight="1" x14ac:dyDescent="0.3">
      <c r="A333" s="136" t="s">
        <v>96</v>
      </c>
      <c r="B333" s="81"/>
      <c r="C333" s="81"/>
      <c r="D333" s="81"/>
      <c r="E333" s="59"/>
      <c r="F333" s="97"/>
      <c r="G333" s="83"/>
      <c r="H333" s="96"/>
      <c r="I333" s="231"/>
      <c r="J333" s="81"/>
      <c r="K333" s="81"/>
      <c r="L333" s="81"/>
      <c r="M333" s="81"/>
      <c r="N333" s="81"/>
      <c r="O333" s="81"/>
      <c r="P333" s="81"/>
      <c r="Q333" s="81"/>
      <c r="R333" s="20"/>
      <c r="S333" s="81"/>
      <c r="T333" s="44"/>
      <c r="U333" s="236"/>
      <c r="V333" s="114">
        <f t="shared" si="58"/>
        <v>0</v>
      </c>
      <c r="W333" s="122"/>
    </row>
    <row r="334" spans="1:24" s="89" customFormat="1" ht="25.5" customHeight="1" x14ac:dyDescent="0.3">
      <c r="A334" s="90" t="s">
        <v>201</v>
      </c>
      <c r="B334" s="81"/>
      <c r="C334" s="81"/>
      <c r="D334" s="81"/>
      <c r="E334" s="59"/>
      <c r="F334" s="97"/>
      <c r="G334" s="83"/>
      <c r="H334" s="96"/>
      <c r="I334" s="231">
        <v>1</v>
      </c>
      <c r="J334" s="81"/>
      <c r="K334" s="81"/>
      <c r="L334" s="81"/>
      <c r="M334" s="81"/>
      <c r="N334" s="81"/>
      <c r="O334" s="81"/>
      <c r="P334" s="41">
        <f>SUBTOTAL(9,I334:O334)</f>
        <v>1</v>
      </c>
      <c r="Q334" s="20">
        <v>26974350</v>
      </c>
      <c r="R334" s="20">
        <f>+Q334*P334</f>
        <v>26974350</v>
      </c>
      <c r="S334" s="81">
        <v>0</v>
      </c>
      <c r="T334" s="52">
        <f>+E334+P334</f>
        <v>1</v>
      </c>
      <c r="U334" s="236">
        <f>+R334+G334</f>
        <v>26974350</v>
      </c>
      <c r="V334" s="114">
        <f t="shared" si="58"/>
        <v>0</v>
      </c>
      <c r="W334" s="122"/>
    </row>
    <row r="335" spans="1:24" s="89" customFormat="1" ht="23.25" customHeight="1" x14ac:dyDescent="0.3">
      <c r="A335" s="136" t="s">
        <v>97</v>
      </c>
      <c r="B335" s="81"/>
      <c r="C335" s="81"/>
      <c r="D335" s="81"/>
      <c r="E335" s="59"/>
      <c r="F335" s="97"/>
      <c r="G335" s="83">
        <f>SUM(G334)</f>
        <v>0</v>
      </c>
      <c r="H335" s="96"/>
      <c r="I335" s="231"/>
      <c r="J335" s="81"/>
      <c r="K335" s="81"/>
      <c r="L335" s="81"/>
      <c r="M335" s="81"/>
      <c r="N335" s="81"/>
      <c r="O335" s="81"/>
      <c r="P335" s="81"/>
      <c r="Q335" s="20"/>
      <c r="R335" s="100">
        <f>SUM(R334)</f>
        <v>26974350</v>
      </c>
      <c r="S335" s="81"/>
      <c r="T335" s="44"/>
      <c r="U335" s="241">
        <f>SUM(U334)</f>
        <v>26974350</v>
      </c>
      <c r="V335" s="114">
        <f t="shared" si="58"/>
        <v>0</v>
      </c>
      <c r="W335" s="122"/>
    </row>
    <row r="336" spans="1:24" s="89" customFormat="1" ht="16.5" customHeight="1" x14ac:dyDescent="0.3">
      <c r="A336" s="136" t="s">
        <v>79</v>
      </c>
      <c r="B336" s="81"/>
      <c r="C336" s="64"/>
      <c r="D336" s="81"/>
      <c r="E336" s="59"/>
      <c r="F336" s="98"/>
      <c r="G336" s="99"/>
      <c r="H336" s="96"/>
      <c r="I336" s="231"/>
      <c r="J336" s="81"/>
      <c r="K336" s="81"/>
      <c r="L336" s="81"/>
      <c r="M336" s="81"/>
      <c r="N336" s="81"/>
      <c r="O336" s="81"/>
      <c r="P336" s="81"/>
      <c r="Q336" s="20"/>
      <c r="R336" s="20">
        <f t="shared" ref="R336:R397" si="59">+Q336*P336</f>
        <v>0</v>
      </c>
      <c r="S336" s="81"/>
      <c r="T336" s="44"/>
      <c r="U336" s="236"/>
      <c r="V336" s="114">
        <f t="shared" si="58"/>
        <v>0</v>
      </c>
      <c r="W336" s="122"/>
    </row>
    <row r="337" spans="1:23" s="89" customFormat="1" ht="33.75" customHeight="1" x14ac:dyDescent="0.3">
      <c r="A337" s="90" t="s">
        <v>346</v>
      </c>
      <c r="B337" s="81"/>
      <c r="C337" s="81"/>
      <c r="D337" s="81"/>
      <c r="E337" s="59">
        <v>1</v>
      </c>
      <c r="F337" s="97">
        <f>15626914+12118108+1413270-18000000+3110744</f>
        <v>14269036</v>
      </c>
      <c r="G337" s="83">
        <f>+E337*F337</f>
        <v>14269036</v>
      </c>
      <c r="H337" s="96"/>
      <c r="I337" s="231"/>
      <c r="J337" s="81"/>
      <c r="K337" s="81"/>
      <c r="L337" s="81"/>
      <c r="M337" s="81"/>
      <c r="N337" s="81"/>
      <c r="O337" s="81"/>
      <c r="P337" s="81"/>
      <c r="Q337" s="20"/>
      <c r="R337" s="20"/>
      <c r="S337" s="81"/>
      <c r="T337" s="52">
        <f>+E337+P337</f>
        <v>1</v>
      </c>
      <c r="U337" s="236">
        <f>+T337*F337</f>
        <v>14269036</v>
      </c>
      <c r="V337" s="114">
        <f t="shared" si="58"/>
        <v>0</v>
      </c>
      <c r="W337" s="122"/>
    </row>
    <row r="338" spans="1:23" ht="18.75" customHeight="1" x14ac:dyDescent="0.3">
      <c r="A338" s="53" t="s">
        <v>501</v>
      </c>
      <c r="B338" s="107"/>
      <c r="C338" s="137"/>
      <c r="D338" s="107"/>
      <c r="E338" s="108"/>
      <c r="F338" s="117"/>
      <c r="G338" s="99">
        <f>SUM(G337)</f>
        <v>14269036</v>
      </c>
      <c r="H338" s="120"/>
      <c r="I338" s="116"/>
      <c r="J338" s="107"/>
      <c r="K338" s="107"/>
      <c r="L338" s="107"/>
      <c r="M338" s="107"/>
      <c r="N338" s="107"/>
      <c r="O338" s="107"/>
      <c r="P338" s="107"/>
      <c r="Q338" s="70"/>
      <c r="R338" s="100">
        <f>SUM(R337)</f>
        <v>0</v>
      </c>
      <c r="S338" s="107"/>
      <c r="T338" s="107"/>
      <c r="U338" s="236">
        <f>SUM(U337)</f>
        <v>14269036</v>
      </c>
      <c r="V338" s="114">
        <f t="shared" si="58"/>
        <v>0</v>
      </c>
    </row>
    <row r="339" spans="1:23" ht="18.75" customHeight="1" x14ac:dyDescent="0.3">
      <c r="A339" s="53" t="s">
        <v>502</v>
      </c>
      <c r="B339" s="107"/>
      <c r="C339" s="137"/>
      <c r="D339" s="107"/>
      <c r="E339" s="108"/>
      <c r="F339" s="117"/>
      <c r="G339" s="99">
        <f>+G338+G335+G332+G325+G282+G200+G134+G93+G91+G85+G59+G55+G46</f>
        <v>301937150.87360001</v>
      </c>
      <c r="H339" s="120"/>
      <c r="I339" s="116"/>
      <c r="J339" s="107"/>
      <c r="K339" s="107"/>
      <c r="L339" s="107"/>
      <c r="M339" s="107"/>
      <c r="N339" s="107"/>
      <c r="O339" s="107"/>
      <c r="P339" s="107"/>
      <c r="Q339" s="70"/>
      <c r="R339" s="100">
        <f>+R338+R335+R332+R325+R282+R200+R134+R93+R91+R85+R59+R55+R46</f>
        <v>2096137461.5595999</v>
      </c>
      <c r="S339" s="107"/>
      <c r="T339" s="107"/>
      <c r="U339" s="241">
        <f>+U338+U335+U332+U325+U282+U200+U134+U93+U91+U85+U59+U55+U46</f>
        <v>2398074612.4331999</v>
      </c>
      <c r="V339" s="114">
        <f t="shared" si="58"/>
        <v>0</v>
      </c>
    </row>
    <row r="340" spans="1:23" ht="16.5" customHeight="1" x14ac:dyDescent="0.3">
      <c r="A340" s="53" t="s">
        <v>99</v>
      </c>
      <c r="B340" s="107"/>
      <c r="C340" s="107"/>
      <c r="D340" s="107"/>
      <c r="E340" s="108"/>
      <c r="F340" s="117"/>
      <c r="G340" s="118"/>
      <c r="H340" s="120"/>
      <c r="I340" s="116"/>
      <c r="J340" s="107"/>
      <c r="K340" s="107"/>
      <c r="L340" s="107"/>
      <c r="M340" s="107"/>
      <c r="N340" s="107"/>
      <c r="O340" s="107"/>
      <c r="P340" s="107"/>
      <c r="Q340" s="70"/>
      <c r="R340" s="70"/>
      <c r="S340" s="107"/>
      <c r="T340" s="44"/>
      <c r="U340" s="236"/>
      <c r="V340" s="114">
        <f t="shared" si="58"/>
        <v>0</v>
      </c>
    </row>
    <row r="341" spans="1:23" ht="27" customHeight="1" x14ac:dyDescent="0.3">
      <c r="A341" s="45" t="s">
        <v>433</v>
      </c>
      <c r="B341" s="107"/>
      <c r="C341" s="137">
        <v>1</v>
      </c>
      <c r="D341" s="107"/>
      <c r="E341" s="108">
        <v>1</v>
      </c>
      <c r="F341" s="109">
        <f>8000000-8000000+17000000</f>
        <v>17000000</v>
      </c>
      <c r="G341" s="110">
        <f>+F341</f>
        <v>17000000</v>
      </c>
      <c r="H341" s="120"/>
      <c r="I341" s="116"/>
      <c r="J341" s="107"/>
      <c r="K341" s="107"/>
      <c r="L341" s="107"/>
      <c r="M341" s="107"/>
      <c r="N341" s="107"/>
      <c r="O341" s="107"/>
      <c r="P341" s="107"/>
      <c r="Q341" s="70"/>
      <c r="R341" s="70">
        <f t="shared" si="59"/>
        <v>0</v>
      </c>
      <c r="S341" s="107"/>
      <c r="T341" s="52">
        <f>+E341+P341</f>
        <v>1</v>
      </c>
      <c r="U341" s="236">
        <f>+T341*F341</f>
        <v>17000000</v>
      </c>
      <c r="V341" s="114">
        <f t="shared" si="58"/>
        <v>0</v>
      </c>
    </row>
    <row r="342" spans="1:23" ht="27" customHeight="1" x14ac:dyDescent="0.3">
      <c r="A342" s="53" t="s">
        <v>100</v>
      </c>
      <c r="B342" s="107"/>
      <c r="C342" s="107"/>
      <c r="D342" s="107"/>
      <c r="E342" s="108"/>
      <c r="F342" s="117"/>
      <c r="G342" s="118">
        <f>G341</f>
        <v>17000000</v>
      </c>
      <c r="H342" s="120"/>
      <c r="I342" s="116"/>
      <c r="J342" s="107"/>
      <c r="K342" s="107"/>
      <c r="L342" s="107"/>
      <c r="M342" s="107"/>
      <c r="N342" s="107"/>
      <c r="O342" s="107"/>
      <c r="P342" s="107"/>
      <c r="Q342" s="70">
        <f>SUM(Q341)</f>
        <v>0</v>
      </c>
      <c r="R342" s="254">
        <f>R341</f>
        <v>0</v>
      </c>
      <c r="S342" s="107"/>
      <c r="T342" s="107"/>
      <c r="U342" s="236">
        <f>SUM(U341)</f>
        <v>17000000</v>
      </c>
      <c r="V342" s="114">
        <f t="shared" si="58"/>
        <v>0</v>
      </c>
    </row>
    <row r="343" spans="1:23" ht="24" customHeight="1" x14ac:dyDescent="0.3">
      <c r="A343" s="53" t="s">
        <v>101</v>
      </c>
      <c r="B343" s="107"/>
      <c r="C343" s="137"/>
      <c r="D343" s="137"/>
      <c r="E343" s="108"/>
      <c r="F343" s="109"/>
      <c r="G343" s="110"/>
      <c r="H343" s="120"/>
      <c r="I343" s="116"/>
      <c r="J343" s="107"/>
      <c r="K343" s="107"/>
      <c r="L343" s="107"/>
      <c r="M343" s="107"/>
      <c r="N343" s="107"/>
      <c r="O343" s="107"/>
      <c r="P343" s="107"/>
      <c r="Q343" s="70"/>
      <c r="R343" s="70"/>
      <c r="S343" s="107"/>
      <c r="T343" s="44"/>
      <c r="U343" s="236"/>
      <c r="V343" s="114">
        <f t="shared" si="58"/>
        <v>0</v>
      </c>
    </row>
    <row r="344" spans="1:23" s="89" customFormat="1" ht="18.75" customHeight="1" x14ac:dyDescent="0.3">
      <c r="A344" s="90" t="s">
        <v>102</v>
      </c>
      <c r="B344" s="81"/>
      <c r="C344" s="64"/>
      <c r="D344" s="64"/>
      <c r="E344" s="59"/>
      <c r="F344" s="20"/>
      <c r="G344" s="83"/>
      <c r="H344" s="96"/>
      <c r="I344" s="231"/>
      <c r="J344" s="81"/>
      <c r="K344" s="81">
        <v>1</v>
      </c>
      <c r="L344" s="81"/>
      <c r="M344" s="81"/>
      <c r="N344" s="81"/>
      <c r="O344" s="81"/>
      <c r="P344" s="41">
        <f>SUBTOTAL(9,I344:O344)</f>
        <v>1</v>
      </c>
      <c r="Q344" s="20">
        <v>38628000</v>
      </c>
      <c r="R344" s="20">
        <f t="shared" si="59"/>
        <v>38628000</v>
      </c>
      <c r="S344" s="81"/>
      <c r="T344" s="52">
        <f t="shared" ref="T344:T380" si="60">+E344+P344</f>
        <v>1</v>
      </c>
      <c r="U344" s="236">
        <f>+T344*Q344</f>
        <v>38628000</v>
      </c>
      <c r="V344" s="114">
        <f t="shared" si="58"/>
        <v>0</v>
      </c>
      <c r="W344" s="122"/>
    </row>
    <row r="345" spans="1:23" s="89" customFormat="1" ht="16.5" customHeight="1" x14ac:dyDescent="0.3">
      <c r="A345" s="90" t="s">
        <v>103</v>
      </c>
      <c r="B345" s="81"/>
      <c r="C345" s="64">
        <v>1</v>
      </c>
      <c r="D345" s="64"/>
      <c r="E345" s="59">
        <v>1</v>
      </c>
      <c r="F345" s="20">
        <v>7000000</v>
      </c>
      <c r="G345" s="83">
        <f t="shared" ref="G345:G353" si="61">+F345*E345</f>
        <v>7000000</v>
      </c>
      <c r="H345" s="96"/>
      <c r="I345" s="231"/>
      <c r="J345" s="81"/>
      <c r="K345" s="81"/>
      <c r="L345" s="81"/>
      <c r="M345" s="81"/>
      <c r="N345" s="81"/>
      <c r="O345" s="81"/>
      <c r="P345" s="81"/>
      <c r="Q345" s="20"/>
      <c r="R345" s="20">
        <f t="shared" si="59"/>
        <v>0</v>
      </c>
      <c r="S345" s="81"/>
      <c r="T345" s="52">
        <f t="shared" si="60"/>
        <v>1</v>
      </c>
      <c r="U345" s="236">
        <f>+T345*F345</f>
        <v>7000000</v>
      </c>
      <c r="V345" s="114">
        <f t="shared" si="58"/>
        <v>0</v>
      </c>
      <c r="W345" s="122"/>
    </row>
    <row r="346" spans="1:23" s="89" customFormat="1" ht="16.5" customHeight="1" x14ac:dyDescent="0.3">
      <c r="A346" s="90" t="s">
        <v>104</v>
      </c>
      <c r="B346" s="81"/>
      <c r="C346" s="64">
        <v>1</v>
      </c>
      <c r="D346" s="64"/>
      <c r="E346" s="59">
        <v>1</v>
      </c>
      <c r="F346" s="20">
        <f>7000000+3347560+4200000-3347560+6166640</f>
        <v>17366640</v>
      </c>
      <c r="G346" s="83">
        <f t="shared" si="61"/>
        <v>17366640</v>
      </c>
      <c r="H346" s="96"/>
      <c r="I346" s="231"/>
      <c r="J346" s="81"/>
      <c r="K346" s="81"/>
      <c r="L346" s="81"/>
      <c r="M346" s="81"/>
      <c r="N346" s="81"/>
      <c r="O346" s="81"/>
      <c r="P346" s="81"/>
      <c r="Q346" s="20"/>
      <c r="R346" s="20">
        <f t="shared" si="59"/>
        <v>0</v>
      </c>
      <c r="S346" s="81"/>
      <c r="T346" s="52">
        <f t="shared" si="60"/>
        <v>1</v>
      </c>
      <c r="U346" s="236">
        <f>+T346*F346</f>
        <v>17366640</v>
      </c>
      <c r="V346" s="114">
        <f t="shared" si="58"/>
        <v>0</v>
      </c>
      <c r="W346" s="122"/>
    </row>
    <row r="347" spans="1:23" s="89" customFormat="1" ht="16.5" customHeight="1" x14ac:dyDescent="0.3">
      <c r="A347" s="90" t="s">
        <v>326</v>
      </c>
      <c r="B347" s="81"/>
      <c r="C347" s="64">
        <v>1</v>
      </c>
      <c r="D347" s="64"/>
      <c r="E347" s="59">
        <v>1</v>
      </c>
      <c r="F347" s="20">
        <v>2000000</v>
      </c>
      <c r="G347" s="83">
        <f t="shared" si="61"/>
        <v>2000000</v>
      </c>
      <c r="H347" s="96"/>
      <c r="I347" s="231"/>
      <c r="J347" s="81"/>
      <c r="K347" s="81"/>
      <c r="L347" s="81"/>
      <c r="M347" s="81"/>
      <c r="N347" s="81"/>
      <c r="O347" s="81"/>
      <c r="P347" s="81"/>
      <c r="Q347" s="81"/>
      <c r="R347" s="20">
        <f t="shared" si="59"/>
        <v>0</v>
      </c>
      <c r="S347" s="81"/>
      <c r="T347" s="52">
        <f t="shared" si="60"/>
        <v>1</v>
      </c>
      <c r="U347" s="236">
        <f>+T347*F347</f>
        <v>2000000</v>
      </c>
      <c r="V347" s="114">
        <f t="shared" si="58"/>
        <v>0</v>
      </c>
      <c r="W347" s="122"/>
    </row>
    <row r="348" spans="1:23" s="89" customFormat="1" ht="16.5" customHeight="1" x14ac:dyDescent="0.3">
      <c r="A348" s="90" t="s">
        <v>362</v>
      </c>
      <c r="B348" s="81"/>
      <c r="C348" s="64"/>
      <c r="D348" s="64"/>
      <c r="E348" s="59"/>
      <c r="F348" s="20"/>
      <c r="G348" s="83"/>
      <c r="H348" s="96"/>
      <c r="I348" s="231">
        <v>1</v>
      </c>
      <c r="J348" s="81"/>
      <c r="K348" s="81"/>
      <c r="L348" s="81"/>
      <c r="M348" s="81"/>
      <c r="N348" s="81"/>
      <c r="O348" s="81"/>
      <c r="P348" s="41">
        <f>SUBTOTAL(9,I348:O348)</f>
        <v>1</v>
      </c>
      <c r="Q348" s="20">
        <f>63670926-3432265</f>
        <v>60238661</v>
      </c>
      <c r="R348" s="20">
        <f t="shared" si="59"/>
        <v>60238661</v>
      </c>
      <c r="S348" s="81"/>
      <c r="T348" s="52">
        <f t="shared" si="60"/>
        <v>1</v>
      </c>
      <c r="U348" s="236">
        <f>+G348+R348</f>
        <v>60238661</v>
      </c>
      <c r="V348" s="114">
        <f t="shared" si="58"/>
        <v>0</v>
      </c>
      <c r="W348" s="122"/>
    </row>
    <row r="349" spans="1:23" s="89" customFormat="1" ht="16.5" customHeight="1" x14ac:dyDescent="0.3">
      <c r="A349" s="90" t="s">
        <v>416</v>
      </c>
      <c r="B349" s="81"/>
      <c r="C349" s="64">
        <v>1</v>
      </c>
      <c r="D349" s="64"/>
      <c r="E349" s="59">
        <v>1</v>
      </c>
      <c r="F349" s="20">
        <v>7594000</v>
      </c>
      <c r="G349" s="83">
        <f>+F349</f>
        <v>7594000</v>
      </c>
      <c r="H349" s="96"/>
      <c r="I349" s="231"/>
      <c r="J349" s="81"/>
      <c r="K349" s="81"/>
      <c r="L349" s="81"/>
      <c r="M349" s="81"/>
      <c r="N349" s="81"/>
      <c r="O349" s="81"/>
      <c r="P349" s="81"/>
      <c r="Q349" s="20"/>
      <c r="R349" s="20"/>
      <c r="S349" s="81"/>
      <c r="T349" s="52">
        <f t="shared" si="60"/>
        <v>1</v>
      </c>
      <c r="U349" s="236">
        <f>+T349*F349</f>
        <v>7594000</v>
      </c>
      <c r="V349" s="114">
        <f t="shared" si="58"/>
        <v>0</v>
      </c>
      <c r="W349" s="122"/>
    </row>
    <row r="350" spans="1:23" s="89" customFormat="1" ht="27.75" customHeight="1" x14ac:dyDescent="0.3">
      <c r="A350" s="90" t="s">
        <v>481</v>
      </c>
      <c r="B350" s="81"/>
      <c r="C350" s="64">
        <v>1</v>
      </c>
      <c r="D350" s="64"/>
      <c r="E350" s="59">
        <v>1</v>
      </c>
      <c r="F350" s="20">
        <v>34690455</v>
      </c>
      <c r="G350" s="83">
        <f>+F350</f>
        <v>34690455</v>
      </c>
      <c r="H350" s="96"/>
      <c r="I350" s="231"/>
      <c r="J350" s="81"/>
      <c r="K350" s="81"/>
      <c r="L350" s="81"/>
      <c r="M350" s="81"/>
      <c r="N350" s="81"/>
      <c r="O350" s="81"/>
      <c r="P350" s="81"/>
      <c r="Q350" s="20"/>
      <c r="R350" s="20"/>
      <c r="S350" s="81"/>
      <c r="T350" s="52">
        <f t="shared" si="60"/>
        <v>1</v>
      </c>
      <c r="U350" s="236">
        <f>+T350*F350</f>
        <v>34690455</v>
      </c>
      <c r="V350" s="114">
        <f t="shared" si="58"/>
        <v>0</v>
      </c>
      <c r="W350" s="122"/>
    </row>
    <row r="351" spans="1:23" s="89" customFormat="1" ht="26.25" customHeight="1" x14ac:dyDescent="0.3">
      <c r="A351" s="90" t="s">
        <v>493</v>
      </c>
      <c r="B351" s="81"/>
      <c r="C351" s="64"/>
      <c r="D351" s="64"/>
      <c r="E351" s="59"/>
      <c r="F351" s="20"/>
      <c r="G351" s="83">
        <f t="shared" si="61"/>
        <v>0</v>
      </c>
      <c r="H351" s="96"/>
      <c r="I351" s="231">
        <v>1</v>
      </c>
      <c r="J351" s="81"/>
      <c r="K351" s="81"/>
      <c r="L351" s="81"/>
      <c r="M351" s="81"/>
      <c r="N351" s="81"/>
      <c r="O351" s="81"/>
      <c r="P351" s="41">
        <f>SUBTOTAL(9,I351:O351)</f>
        <v>1</v>
      </c>
      <c r="Q351" s="20">
        <v>9000000</v>
      </c>
      <c r="R351" s="20">
        <f>+Q351*P351</f>
        <v>9000000</v>
      </c>
      <c r="S351" s="81"/>
      <c r="T351" s="52">
        <f t="shared" si="60"/>
        <v>1</v>
      </c>
      <c r="U351" s="236">
        <f>+R351+G351</f>
        <v>9000000</v>
      </c>
      <c r="V351" s="114">
        <f t="shared" si="58"/>
        <v>0</v>
      </c>
      <c r="W351" s="122"/>
    </row>
    <row r="352" spans="1:23" s="89" customFormat="1" ht="18.75" customHeight="1" x14ac:dyDescent="0.3">
      <c r="A352" s="90" t="s">
        <v>361</v>
      </c>
      <c r="B352" s="81"/>
      <c r="C352" s="64"/>
      <c r="D352" s="64"/>
      <c r="E352" s="59">
        <v>1</v>
      </c>
      <c r="F352" s="20">
        <f>5378291+1682372+3496903</f>
        <v>10557566</v>
      </c>
      <c r="G352" s="83">
        <f>+F352</f>
        <v>10557566</v>
      </c>
      <c r="H352" s="96"/>
      <c r="I352" s="231"/>
      <c r="J352" s="81"/>
      <c r="K352" s="81"/>
      <c r="L352" s="81"/>
      <c r="M352" s="81"/>
      <c r="N352" s="81"/>
      <c r="O352" s="81"/>
      <c r="P352" s="81"/>
      <c r="Q352" s="130"/>
      <c r="R352" s="20"/>
      <c r="S352" s="81"/>
      <c r="T352" s="52">
        <f t="shared" si="60"/>
        <v>1</v>
      </c>
      <c r="U352" s="236">
        <f>+T352*F352</f>
        <v>10557566</v>
      </c>
      <c r="V352" s="114">
        <f t="shared" si="58"/>
        <v>0</v>
      </c>
      <c r="W352" s="122"/>
    </row>
    <row r="353" spans="1:23" s="89" customFormat="1" ht="24" customHeight="1" x14ac:dyDescent="0.3">
      <c r="A353" s="90" t="s">
        <v>495</v>
      </c>
      <c r="B353" s="81"/>
      <c r="C353" s="64"/>
      <c r="D353" s="64"/>
      <c r="E353" s="59"/>
      <c r="F353" s="20"/>
      <c r="G353" s="83">
        <f t="shared" si="61"/>
        <v>0</v>
      </c>
      <c r="H353" s="96"/>
      <c r="I353" s="231"/>
      <c r="J353" s="81"/>
      <c r="K353" s="81"/>
      <c r="L353" s="81"/>
      <c r="M353" s="81">
        <v>1</v>
      </c>
      <c r="N353" s="81"/>
      <c r="O353" s="81"/>
      <c r="P353" s="41">
        <f t="shared" ref="P353:P380" si="62">SUBTOTAL(9,I353:O353)</f>
        <v>1</v>
      </c>
      <c r="Q353" s="130">
        <v>92933227</v>
      </c>
      <c r="R353" s="20">
        <f>+Q353*P353</f>
        <v>92933227</v>
      </c>
      <c r="S353" s="81"/>
      <c r="T353" s="52">
        <f t="shared" si="60"/>
        <v>1</v>
      </c>
      <c r="U353" s="236">
        <f>+T353*Q353</f>
        <v>92933227</v>
      </c>
      <c r="V353" s="114">
        <f t="shared" si="58"/>
        <v>0</v>
      </c>
      <c r="W353" s="122"/>
    </row>
    <row r="354" spans="1:23" s="89" customFormat="1" ht="36" customHeight="1" x14ac:dyDescent="0.3">
      <c r="A354" s="90" t="s">
        <v>420</v>
      </c>
      <c r="B354" s="81"/>
      <c r="C354" s="81"/>
      <c r="D354" s="81"/>
      <c r="E354" s="59"/>
      <c r="F354" s="98"/>
      <c r="G354" s="99"/>
      <c r="H354" s="96"/>
      <c r="I354" s="231"/>
      <c r="J354" s="81"/>
      <c r="K354" s="81"/>
      <c r="L354" s="81"/>
      <c r="M354" s="81"/>
      <c r="N354" s="81">
        <v>1</v>
      </c>
      <c r="O354" s="81"/>
      <c r="P354" s="41">
        <f t="shared" si="62"/>
        <v>1</v>
      </c>
      <c r="Q354" s="20">
        <v>140000000</v>
      </c>
      <c r="R354" s="20">
        <f t="shared" si="59"/>
        <v>140000000</v>
      </c>
      <c r="S354" s="81">
        <v>0</v>
      </c>
      <c r="T354" s="52">
        <f t="shared" si="60"/>
        <v>1</v>
      </c>
      <c r="U354" s="236">
        <f t="shared" ref="U354:U380" si="63">+R354+G354</f>
        <v>140000000</v>
      </c>
      <c r="V354" s="114">
        <f t="shared" si="58"/>
        <v>0</v>
      </c>
      <c r="W354" s="122"/>
    </row>
    <row r="355" spans="1:23" s="89" customFormat="1" ht="48" customHeight="1" x14ac:dyDescent="0.3">
      <c r="A355" s="90" t="s">
        <v>421</v>
      </c>
      <c r="B355" s="81"/>
      <c r="C355" s="81"/>
      <c r="D355" s="81"/>
      <c r="E355" s="59"/>
      <c r="F355" s="98"/>
      <c r="G355" s="99"/>
      <c r="H355" s="96"/>
      <c r="I355" s="231"/>
      <c r="J355" s="81"/>
      <c r="K355" s="81"/>
      <c r="L355" s="81"/>
      <c r="M355" s="81"/>
      <c r="N355" s="81">
        <v>1</v>
      </c>
      <c r="O355" s="81"/>
      <c r="P355" s="41">
        <f t="shared" si="62"/>
        <v>1</v>
      </c>
      <c r="Q355" s="20">
        <v>1973600</v>
      </c>
      <c r="R355" s="20">
        <f t="shared" si="59"/>
        <v>1973600</v>
      </c>
      <c r="S355" s="81">
        <v>0</v>
      </c>
      <c r="T355" s="52">
        <f t="shared" si="60"/>
        <v>1</v>
      </c>
      <c r="U355" s="236">
        <f t="shared" si="63"/>
        <v>1973600</v>
      </c>
      <c r="V355" s="114">
        <f t="shared" si="58"/>
        <v>0</v>
      </c>
      <c r="W355" s="122"/>
    </row>
    <row r="356" spans="1:23" s="89" customFormat="1" ht="60" customHeight="1" x14ac:dyDescent="0.3">
      <c r="A356" s="138" t="s">
        <v>334</v>
      </c>
      <c r="B356" s="81"/>
      <c r="C356" s="81"/>
      <c r="D356" s="81"/>
      <c r="E356" s="59"/>
      <c r="F356" s="98"/>
      <c r="G356" s="99"/>
      <c r="H356" s="96"/>
      <c r="I356" s="231"/>
      <c r="J356" s="81"/>
      <c r="K356" s="81"/>
      <c r="L356" s="81"/>
      <c r="M356" s="81"/>
      <c r="N356" s="81">
        <v>1</v>
      </c>
      <c r="O356" s="81"/>
      <c r="P356" s="41">
        <f t="shared" si="62"/>
        <v>1</v>
      </c>
      <c r="Q356" s="20">
        <f>224308814+10000000+9401767+1834372-5616353</f>
        <v>239928600</v>
      </c>
      <c r="R356" s="20">
        <f t="shared" si="59"/>
        <v>239928600</v>
      </c>
      <c r="S356" s="81">
        <v>0</v>
      </c>
      <c r="T356" s="52">
        <f t="shared" si="60"/>
        <v>1</v>
      </c>
      <c r="U356" s="236">
        <f t="shared" si="63"/>
        <v>239928600</v>
      </c>
      <c r="V356" s="114">
        <f t="shared" si="58"/>
        <v>0</v>
      </c>
      <c r="W356" s="122"/>
    </row>
    <row r="357" spans="1:23" s="89" customFormat="1" ht="36" customHeight="1" x14ac:dyDescent="0.3">
      <c r="A357" s="80" t="s">
        <v>422</v>
      </c>
      <c r="B357" s="81"/>
      <c r="C357" s="81"/>
      <c r="D357" s="81"/>
      <c r="E357" s="59"/>
      <c r="F357" s="98"/>
      <c r="G357" s="99"/>
      <c r="H357" s="96"/>
      <c r="I357" s="231"/>
      <c r="J357" s="81"/>
      <c r="K357" s="81"/>
      <c r="L357" s="81"/>
      <c r="M357" s="81"/>
      <c r="N357" s="81">
        <v>1</v>
      </c>
      <c r="O357" s="81"/>
      <c r="P357" s="41">
        <f t="shared" si="62"/>
        <v>1</v>
      </c>
      <c r="Q357" s="20">
        <v>102850435</v>
      </c>
      <c r="R357" s="20">
        <f t="shared" si="59"/>
        <v>102850435</v>
      </c>
      <c r="S357" s="81">
        <v>0</v>
      </c>
      <c r="T357" s="52">
        <f t="shared" si="60"/>
        <v>1</v>
      </c>
      <c r="U357" s="236">
        <f t="shared" si="63"/>
        <v>102850435</v>
      </c>
      <c r="V357" s="114">
        <f t="shared" si="58"/>
        <v>0</v>
      </c>
      <c r="W357" s="122"/>
    </row>
    <row r="358" spans="1:23" s="89" customFormat="1" ht="48" customHeight="1" x14ac:dyDescent="0.3">
      <c r="A358" s="138" t="s">
        <v>105</v>
      </c>
      <c r="B358" s="81"/>
      <c r="C358" s="81"/>
      <c r="D358" s="81"/>
      <c r="E358" s="59"/>
      <c r="F358" s="98"/>
      <c r="G358" s="99"/>
      <c r="H358" s="96"/>
      <c r="I358" s="231"/>
      <c r="J358" s="81"/>
      <c r="K358" s="81"/>
      <c r="L358" s="81"/>
      <c r="M358" s="81"/>
      <c r="N358" s="81">
        <v>1</v>
      </c>
      <c r="O358" s="81"/>
      <c r="P358" s="41">
        <f t="shared" si="62"/>
        <v>1</v>
      </c>
      <c r="Q358" s="20">
        <v>59844121</v>
      </c>
      <c r="R358" s="20">
        <f t="shared" si="59"/>
        <v>59844121</v>
      </c>
      <c r="S358" s="81">
        <v>0</v>
      </c>
      <c r="T358" s="52">
        <f t="shared" si="60"/>
        <v>1</v>
      </c>
      <c r="U358" s="236">
        <f t="shared" si="63"/>
        <v>59844121</v>
      </c>
      <c r="V358" s="114">
        <f t="shared" si="58"/>
        <v>0</v>
      </c>
      <c r="W358" s="122"/>
    </row>
    <row r="359" spans="1:23" s="89" customFormat="1" ht="24" customHeight="1" x14ac:dyDescent="0.3">
      <c r="A359" s="90" t="s">
        <v>423</v>
      </c>
      <c r="B359" s="81"/>
      <c r="C359" s="81"/>
      <c r="D359" s="81"/>
      <c r="E359" s="59"/>
      <c r="F359" s="98"/>
      <c r="G359" s="99"/>
      <c r="H359" s="96"/>
      <c r="I359" s="231"/>
      <c r="J359" s="81"/>
      <c r="K359" s="81"/>
      <c r="L359" s="81">
        <v>1</v>
      </c>
      <c r="M359" s="81"/>
      <c r="N359" s="81"/>
      <c r="O359" s="81"/>
      <c r="P359" s="41">
        <f t="shared" si="62"/>
        <v>1</v>
      </c>
      <c r="Q359" s="20">
        <f>220000000+9037343</f>
        <v>229037343</v>
      </c>
      <c r="R359" s="20">
        <f t="shared" si="59"/>
        <v>229037343</v>
      </c>
      <c r="S359" s="81">
        <v>0</v>
      </c>
      <c r="T359" s="52">
        <f t="shared" si="60"/>
        <v>1</v>
      </c>
      <c r="U359" s="236">
        <f t="shared" si="63"/>
        <v>229037343</v>
      </c>
      <c r="V359" s="114">
        <f t="shared" si="58"/>
        <v>0</v>
      </c>
      <c r="W359" s="122"/>
    </row>
    <row r="360" spans="1:23" s="89" customFormat="1" ht="44.25" customHeight="1" x14ac:dyDescent="0.3">
      <c r="A360" s="80" t="s">
        <v>490</v>
      </c>
      <c r="B360" s="81"/>
      <c r="C360" s="81"/>
      <c r="D360" s="81"/>
      <c r="E360" s="59"/>
      <c r="F360" s="98"/>
      <c r="G360" s="99"/>
      <c r="H360" s="96"/>
      <c r="I360" s="231"/>
      <c r="J360" s="81"/>
      <c r="K360" s="81"/>
      <c r="L360" s="81"/>
      <c r="M360" s="81">
        <v>1</v>
      </c>
      <c r="N360" s="81"/>
      <c r="O360" s="81"/>
      <c r="P360" s="41">
        <f t="shared" si="62"/>
        <v>1</v>
      </c>
      <c r="Q360" s="20">
        <v>166102877</v>
      </c>
      <c r="R360" s="20">
        <f t="shared" si="59"/>
        <v>166102877</v>
      </c>
      <c r="S360" s="81">
        <v>0</v>
      </c>
      <c r="T360" s="52">
        <f t="shared" si="60"/>
        <v>1</v>
      </c>
      <c r="U360" s="236">
        <f>+T360*Q360</f>
        <v>166102877</v>
      </c>
      <c r="V360" s="114">
        <f t="shared" si="58"/>
        <v>0</v>
      </c>
      <c r="W360" s="122"/>
    </row>
    <row r="361" spans="1:23" s="89" customFormat="1" ht="36" customHeight="1" x14ac:dyDescent="0.3">
      <c r="A361" s="90" t="s">
        <v>424</v>
      </c>
      <c r="B361" s="81"/>
      <c r="C361" s="81"/>
      <c r="D361" s="81"/>
      <c r="E361" s="59"/>
      <c r="F361" s="98"/>
      <c r="G361" s="99"/>
      <c r="H361" s="96"/>
      <c r="I361" s="231"/>
      <c r="J361" s="81"/>
      <c r="K361" s="81"/>
      <c r="L361" s="81"/>
      <c r="M361" s="81">
        <v>1</v>
      </c>
      <c r="N361" s="81"/>
      <c r="O361" s="81"/>
      <c r="P361" s="41">
        <f t="shared" si="62"/>
        <v>1</v>
      </c>
      <c r="Q361" s="20">
        <v>6682320</v>
      </c>
      <c r="R361" s="20">
        <f t="shared" si="59"/>
        <v>6682320</v>
      </c>
      <c r="S361" s="81">
        <v>0</v>
      </c>
      <c r="T361" s="52">
        <f t="shared" si="60"/>
        <v>1</v>
      </c>
      <c r="U361" s="236">
        <f t="shared" si="63"/>
        <v>6682320</v>
      </c>
      <c r="V361" s="114">
        <f t="shared" si="58"/>
        <v>0</v>
      </c>
      <c r="W361" s="122"/>
    </row>
    <row r="362" spans="1:23" s="89" customFormat="1" ht="36" customHeight="1" x14ac:dyDescent="0.3">
      <c r="A362" s="90" t="s">
        <v>482</v>
      </c>
      <c r="B362" s="81"/>
      <c r="C362" s="81"/>
      <c r="D362" s="81"/>
      <c r="E362" s="59"/>
      <c r="F362" s="98"/>
      <c r="G362" s="99"/>
      <c r="H362" s="96"/>
      <c r="I362" s="231"/>
      <c r="J362" s="81"/>
      <c r="K362" s="81"/>
      <c r="L362" s="81"/>
      <c r="M362" s="81">
        <v>1</v>
      </c>
      <c r="N362" s="81"/>
      <c r="O362" s="81"/>
      <c r="P362" s="41">
        <f t="shared" si="62"/>
        <v>1</v>
      </c>
      <c r="Q362" s="20">
        <v>3488822</v>
      </c>
      <c r="R362" s="20">
        <f t="shared" si="59"/>
        <v>3488822</v>
      </c>
      <c r="S362" s="81">
        <v>0</v>
      </c>
      <c r="T362" s="52">
        <f t="shared" si="60"/>
        <v>1</v>
      </c>
      <c r="U362" s="236">
        <f t="shared" si="63"/>
        <v>3488822</v>
      </c>
      <c r="V362" s="114">
        <f t="shared" si="58"/>
        <v>0</v>
      </c>
      <c r="W362" s="122"/>
    </row>
    <row r="363" spans="1:23" s="89" customFormat="1" ht="36" customHeight="1" x14ac:dyDescent="0.3">
      <c r="A363" s="90" t="s">
        <v>425</v>
      </c>
      <c r="B363" s="81"/>
      <c r="C363" s="81"/>
      <c r="D363" s="81"/>
      <c r="E363" s="59"/>
      <c r="F363" s="98"/>
      <c r="G363" s="99"/>
      <c r="H363" s="96"/>
      <c r="I363" s="231"/>
      <c r="J363" s="81"/>
      <c r="K363" s="81"/>
      <c r="L363" s="81"/>
      <c r="M363" s="81">
        <v>1</v>
      </c>
      <c r="N363" s="81"/>
      <c r="O363" s="81"/>
      <c r="P363" s="41">
        <f t="shared" si="62"/>
        <v>1</v>
      </c>
      <c r="Q363" s="20">
        <v>3200000</v>
      </c>
      <c r="R363" s="20">
        <f t="shared" si="59"/>
        <v>3200000</v>
      </c>
      <c r="S363" s="81">
        <v>0</v>
      </c>
      <c r="T363" s="52">
        <f t="shared" si="60"/>
        <v>1</v>
      </c>
      <c r="U363" s="236">
        <f t="shared" si="63"/>
        <v>3200000</v>
      </c>
      <c r="V363" s="114">
        <f t="shared" si="58"/>
        <v>0</v>
      </c>
      <c r="W363" s="122"/>
    </row>
    <row r="364" spans="1:23" s="89" customFormat="1" ht="36" customHeight="1" x14ac:dyDescent="0.3">
      <c r="A364" s="90" t="s">
        <v>487</v>
      </c>
      <c r="B364" s="81"/>
      <c r="C364" s="81"/>
      <c r="D364" s="81"/>
      <c r="E364" s="59"/>
      <c r="F364" s="98"/>
      <c r="G364" s="99"/>
      <c r="H364" s="96"/>
      <c r="I364" s="231"/>
      <c r="J364" s="81"/>
      <c r="K364" s="81"/>
      <c r="L364" s="81"/>
      <c r="M364" s="81">
        <v>1</v>
      </c>
      <c r="N364" s="81"/>
      <c r="O364" s="81"/>
      <c r="P364" s="41">
        <f t="shared" si="62"/>
        <v>1</v>
      </c>
      <c r="Q364" s="20">
        <v>1220000</v>
      </c>
      <c r="R364" s="20">
        <f>+Q364*P364</f>
        <v>1220000</v>
      </c>
      <c r="S364" s="81">
        <v>0</v>
      </c>
      <c r="T364" s="52">
        <f t="shared" si="60"/>
        <v>1</v>
      </c>
      <c r="U364" s="236">
        <f>+R364+G364</f>
        <v>1220000</v>
      </c>
      <c r="V364" s="114">
        <f t="shared" si="58"/>
        <v>0</v>
      </c>
      <c r="W364" s="122"/>
    </row>
    <row r="365" spans="1:23" s="89" customFormat="1" ht="60" customHeight="1" x14ac:dyDescent="0.3">
      <c r="A365" s="80" t="s">
        <v>426</v>
      </c>
      <c r="B365" s="81"/>
      <c r="C365" s="81"/>
      <c r="D365" s="81"/>
      <c r="E365" s="59"/>
      <c r="F365" s="98"/>
      <c r="G365" s="99"/>
      <c r="H365" s="96"/>
      <c r="I365" s="231"/>
      <c r="J365" s="81"/>
      <c r="K365" s="81"/>
      <c r="L365" s="81"/>
      <c r="M365" s="81">
        <v>1</v>
      </c>
      <c r="N365" s="81"/>
      <c r="O365" s="81"/>
      <c r="P365" s="41">
        <f t="shared" si="62"/>
        <v>1</v>
      </c>
      <c r="Q365" s="20">
        <v>23428520</v>
      </c>
      <c r="R365" s="20">
        <f t="shared" si="59"/>
        <v>23428520</v>
      </c>
      <c r="S365" s="81">
        <v>0</v>
      </c>
      <c r="T365" s="52">
        <f t="shared" si="60"/>
        <v>1</v>
      </c>
      <c r="U365" s="236">
        <f t="shared" si="63"/>
        <v>23428520</v>
      </c>
      <c r="V365" s="114">
        <f t="shared" si="58"/>
        <v>0</v>
      </c>
      <c r="W365" s="122"/>
    </row>
    <row r="366" spans="1:23" s="89" customFormat="1" ht="48" customHeight="1" x14ac:dyDescent="0.3">
      <c r="A366" s="90" t="s">
        <v>427</v>
      </c>
      <c r="B366" s="81"/>
      <c r="C366" s="81"/>
      <c r="D366" s="81"/>
      <c r="E366" s="59"/>
      <c r="F366" s="98"/>
      <c r="G366" s="99"/>
      <c r="H366" s="96"/>
      <c r="I366" s="231"/>
      <c r="J366" s="81"/>
      <c r="K366" s="81"/>
      <c r="L366" s="81"/>
      <c r="M366" s="81">
        <v>1</v>
      </c>
      <c r="N366" s="81"/>
      <c r="O366" s="81"/>
      <c r="P366" s="41">
        <f t="shared" si="62"/>
        <v>1</v>
      </c>
      <c r="Q366" s="20">
        <f>12000000-5500000</f>
        <v>6500000</v>
      </c>
      <c r="R366" s="20">
        <f t="shared" si="59"/>
        <v>6500000</v>
      </c>
      <c r="S366" s="81">
        <v>0</v>
      </c>
      <c r="T366" s="52">
        <f t="shared" si="60"/>
        <v>1</v>
      </c>
      <c r="U366" s="236">
        <f t="shared" si="63"/>
        <v>6500000</v>
      </c>
      <c r="V366" s="114">
        <f t="shared" si="58"/>
        <v>0</v>
      </c>
      <c r="W366" s="122"/>
    </row>
    <row r="367" spans="1:23" s="89" customFormat="1" ht="48" customHeight="1" x14ac:dyDescent="0.3">
      <c r="A367" s="90" t="s">
        <v>488</v>
      </c>
      <c r="B367" s="81"/>
      <c r="C367" s="81"/>
      <c r="D367" s="81"/>
      <c r="E367" s="59"/>
      <c r="F367" s="98"/>
      <c r="G367" s="99"/>
      <c r="H367" s="96"/>
      <c r="I367" s="231"/>
      <c r="J367" s="81"/>
      <c r="K367" s="81"/>
      <c r="L367" s="81"/>
      <c r="M367" s="81">
        <v>1</v>
      </c>
      <c r="N367" s="81"/>
      <c r="O367" s="81"/>
      <c r="P367" s="41">
        <f t="shared" si="62"/>
        <v>1</v>
      </c>
      <c r="Q367" s="20">
        <v>2524160</v>
      </c>
      <c r="R367" s="20">
        <f>+Q367*P367</f>
        <v>2524160</v>
      </c>
      <c r="S367" s="81">
        <v>0</v>
      </c>
      <c r="T367" s="52">
        <f t="shared" si="60"/>
        <v>1</v>
      </c>
      <c r="U367" s="236">
        <f>+R367+G367</f>
        <v>2524160</v>
      </c>
      <c r="V367" s="114">
        <f t="shared" si="58"/>
        <v>0</v>
      </c>
      <c r="W367" s="122"/>
    </row>
    <row r="368" spans="1:23" s="89" customFormat="1" ht="48" customHeight="1" x14ac:dyDescent="0.3">
      <c r="A368" s="90" t="s">
        <v>483</v>
      </c>
      <c r="B368" s="81"/>
      <c r="C368" s="81"/>
      <c r="D368" s="81"/>
      <c r="E368" s="59"/>
      <c r="F368" s="98"/>
      <c r="G368" s="99"/>
      <c r="H368" s="96"/>
      <c r="I368" s="231"/>
      <c r="J368" s="81"/>
      <c r="K368" s="81"/>
      <c r="L368" s="81"/>
      <c r="M368" s="81">
        <v>1</v>
      </c>
      <c r="N368" s="81"/>
      <c r="O368" s="81"/>
      <c r="P368" s="41">
        <f t="shared" si="62"/>
        <v>1</v>
      </c>
      <c r="Q368" s="20">
        <v>2975400</v>
      </c>
      <c r="R368" s="20">
        <f t="shared" si="59"/>
        <v>2975400</v>
      </c>
      <c r="S368" s="81"/>
      <c r="T368" s="52">
        <f t="shared" si="60"/>
        <v>1</v>
      </c>
      <c r="U368" s="236">
        <f t="shared" si="63"/>
        <v>2975400</v>
      </c>
      <c r="V368" s="114">
        <f t="shared" si="58"/>
        <v>0</v>
      </c>
      <c r="W368" s="122"/>
    </row>
    <row r="369" spans="1:23" s="89" customFormat="1" ht="48" customHeight="1" x14ac:dyDescent="0.3">
      <c r="A369" s="90" t="s">
        <v>484</v>
      </c>
      <c r="B369" s="81"/>
      <c r="C369" s="81"/>
      <c r="D369" s="81"/>
      <c r="E369" s="59"/>
      <c r="F369" s="98"/>
      <c r="G369" s="99"/>
      <c r="H369" s="96"/>
      <c r="I369" s="231">
        <v>1</v>
      </c>
      <c r="J369" s="81"/>
      <c r="K369" s="81"/>
      <c r="L369" s="81"/>
      <c r="M369" s="81"/>
      <c r="N369" s="81"/>
      <c r="O369" s="81"/>
      <c r="P369" s="41">
        <f t="shared" si="62"/>
        <v>1</v>
      </c>
      <c r="Q369" s="20">
        <v>10092000</v>
      </c>
      <c r="R369" s="20">
        <f>+Q369*P369</f>
        <v>10092000</v>
      </c>
      <c r="S369" s="81"/>
      <c r="T369" s="52">
        <f t="shared" si="60"/>
        <v>1</v>
      </c>
      <c r="U369" s="236">
        <f>+R369+G369</f>
        <v>10092000</v>
      </c>
      <c r="V369" s="114">
        <f t="shared" si="58"/>
        <v>0</v>
      </c>
      <c r="W369" s="122"/>
    </row>
    <row r="370" spans="1:23" s="89" customFormat="1" ht="48" customHeight="1" x14ac:dyDescent="0.3">
      <c r="A370" s="90" t="s">
        <v>428</v>
      </c>
      <c r="B370" s="81"/>
      <c r="C370" s="81"/>
      <c r="D370" s="81"/>
      <c r="E370" s="59"/>
      <c r="F370" s="98"/>
      <c r="G370" s="99"/>
      <c r="H370" s="96"/>
      <c r="I370" s="231"/>
      <c r="J370" s="81"/>
      <c r="K370" s="81"/>
      <c r="L370" s="81"/>
      <c r="M370" s="81">
        <v>1</v>
      </c>
      <c r="N370" s="81"/>
      <c r="O370" s="81"/>
      <c r="P370" s="41">
        <f t="shared" si="62"/>
        <v>1</v>
      </c>
      <c r="Q370" s="20">
        <v>6615000</v>
      </c>
      <c r="R370" s="20">
        <f t="shared" si="59"/>
        <v>6615000</v>
      </c>
      <c r="S370" s="81">
        <v>0</v>
      </c>
      <c r="T370" s="52">
        <f t="shared" si="60"/>
        <v>1</v>
      </c>
      <c r="U370" s="236">
        <f t="shared" si="63"/>
        <v>6615000</v>
      </c>
      <c r="V370" s="114">
        <f t="shared" si="58"/>
        <v>0</v>
      </c>
      <c r="W370" s="122"/>
    </row>
    <row r="371" spans="1:23" s="89" customFormat="1" ht="36" customHeight="1" x14ac:dyDescent="0.3">
      <c r="A371" s="90" t="s">
        <v>429</v>
      </c>
      <c r="B371" s="81"/>
      <c r="C371" s="81"/>
      <c r="D371" s="81"/>
      <c r="E371" s="59"/>
      <c r="F371" s="98"/>
      <c r="G371" s="99"/>
      <c r="H371" s="96"/>
      <c r="I371" s="231"/>
      <c r="J371" s="81"/>
      <c r="K371" s="81"/>
      <c r="L371" s="81"/>
      <c r="M371" s="81">
        <v>1</v>
      </c>
      <c r="N371" s="81"/>
      <c r="O371" s="81"/>
      <c r="P371" s="41">
        <f t="shared" si="62"/>
        <v>1</v>
      </c>
      <c r="Q371" s="20">
        <v>19688000</v>
      </c>
      <c r="R371" s="20">
        <f t="shared" si="59"/>
        <v>19688000</v>
      </c>
      <c r="S371" s="81">
        <v>0</v>
      </c>
      <c r="T371" s="52">
        <f t="shared" si="60"/>
        <v>1</v>
      </c>
      <c r="U371" s="236">
        <f t="shared" si="63"/>
        <v>19688000</v>
      </c>
      <c r="V371" s="114">
        <f t="shared" si="58"/>
        <v>0</v>
      </c>
      <c r="W371" s="122"/>
    </row>
    <row r="372" spans="1:23" s="89" customFormat="1" ht="36" customHeight="1" x14ac:dyDescent="0.3">
      <c r="A372" s="90" t="s">
        <v>489</v>
      </c>
      <c r="B372" s="81"/>
      <c r="C372" s="81"/>
      <c r="D372" s="81"/>
      <c r="E372" s="59"/>
      <c r="F372" s="98"/>
      <c r="G372" s="99"/>
      <c r="H372" s="96"/>
      <c r="I372" s="231"/>
      <c r="J372" s="81"/>
      <c r="K372" s="81"/>
      <c r="L372" s="81"/>
      <c r="M372" s="81">
        <v>1</v>
      </c>
      <c r="N372" s="81"/>
      <c r="O372" s="81"/>
      <c r="P372" s="41">
        <f t="shared" si="62"/>
        <v>1</v>
      </c>
      <c r="Q372" s="20">
        <v>5307000</v>
      </c>
      <c r="R372" s="20">
        <f>+Q372*P372</f>
        <v>5307000</v>
      </c>
      <c r="S372" s="81">
        <v>0</v>
      </c>
      <c r="T372" s="52">
        <f t="shared" si="60"/>
        <v>1</v>
      </c>
      <c r="U372" s="236">
        <f>+R372+G372</f>
        <v>5307000</v>
      </c>
      <c r="V372" s="114">
        <f t="shared" si="58"/>
        <v>0</v>
      </c>
      <c r="W372" s="122"/>
    </row>
    <row r="373" spans="1:23" s="89" customFormat="1" ht="32.25" customHeight="1" x14ac:dyDescent="0.3">
      <c r="A373" s="90" t="s">
        <v>462</v>
      </c>
      <c r="B373" s="81"/>
      <c r="C373" s="81"/>
      <c r="D373" s="81"/>
      <c r="E373" s="59"/>
      <c r="F373" s="98"/>
      <c r="G373" s="99"/>
      <c r="H373" s="96"/>
      <c r="I373" s="231"/>
      <c r="J373" s="81"/>
      <c r="K373" s="81"/>
      <c r="L373" s="81"/>
      <c r="M373" s="81">
        <v>3</v>
      </c>
      <c r="N373" s="81"/>
      <c r="O373" s="81"/>
      <c r="P373" s="41">
        <f t="shared" si="62"/>
        <v>3</v>
      </c>
      <c r="Q373" s="20">
        <v>2552000</v>
      </c>
      <c r="R373" s="20">
        <f t="shared" si="59"/>
        <v>7656000</v>
      </c>
      <c r="S373" s="81">
        <v>0</v>
      </c>
      <c r="T373" s="52">
        <f t="shared" si="60"/>
        <v>3</v>
      </c>
      <c r="U373" s="236">
        <f t="shared" si="63"/>
        <v>7656000</v>
      </c>
      <c r="V373" s="114">
        <f t="shared" si="58"/>
        <v>0</v>
      </c>
      <c r="W373" s="122"/>
    </row>
    <row r="374" spans="1:23" s="89" customFormat="1" ht="39" customHeight="1" x14ac:dyDescent="0.3">
      <c r="A374" s="90" t="s">
        <v>485</v>
      </c>
      <c r="B374" s="81"/>
      <c r="C374" s="81"/>
      <c r="D374" s="81"/>
      <c r="E374" s="59"/>
      <c r="F374" s="98"/>
      <c r="G374" s="99"/>
      <c r="H374" s="96"/>
      <c r="I374" s="231"/>
      <c r="J374" s="81"/>
      <c r="K374" s="81"/>
      <c r="L374" s="81"/>
      <c r="M374" s="81">
        <v>1</v>
      </c>
      <c r="N374" s="81"/>
      <c r="O374" s="81"/>
      <c r="P374" s="41">
        <f t="shared" si="62"/>
        <v>1</v>
      </c>
      <c r="Q374" s="20">
        <v>2230000</v>
      </c>
      <c r="R374" s="20">
        <f>+Q374*P374</f>
        <v>2230000</v>
      </c>
      <c r="S374" s="81">
        <v>0</v>
      </c>
      <c r="T374" s="52">
        <f t="shared" si="60"/>
        <v>1</v>
      </c>
      <c r="U374" s="236">
        <f>+R374+G374</f>
        <v>2230000</v>
      </c>
      <c r="V374" s="114">
        <f t="shared" si="58"/>
        <v>0</v>
      </c>
      <c r="W374" s="122"/>
    </row>
    <row r="375" spans="1:23" s="89" customFormat="1" ht="36" x14ac:dyDescent="0.3">
      <c r="A375" s="90" t="s">
        <v>430</v>
      </c>
      <c r="B375" s="81"/>
      <c r="C375" s="81"/>
      <c r="D375" s="81"/>
      <c r="E375" s="59"/>
      <c r="F375" s="98"/>
      <c r="G375" s="99"/>
      <c r="H375" s="96"/>
      <c r="I375" s="231"/>
      <c r="J375" s="81"/>
      <c r="K375" s="81"/>
      <c r="L375" s="81"/>
      <c r="M375" s="81"/>
      <c r="N375" s="81"/>
      <c r="O375" s="81">
        <v>1</v>
      </c>
      <c r="P375" s="41">
        <f t="shared" si="62"/>
        <v>1</v>
      </c>
      <c r="Q375" s="20">
        <v>2858746</v>
      </c>
      <c r="R375" s="20">
        <f t="shared" si="59"/>
        <v>2858746</v>
      </c>
      <c r="S375" s="81">
        <v>0</v>
      </c>
      <c r="T375" s="52">
        <f t="shared" si="60"/>
        <v>1</v>
      </c>
      <c r="U375" s="236">
        <f t="shared" si="63"/>
        <v>2858746</v>
      </c>
      <c r="V375" s="114">
        <f t="shared" si="58"/>
        <v>0</v>
      </c>
      <c r="W375" s="122"/>
    </row>
    <row r="376" spans="1:23" s="89" customFormat="1" ht="48" x14ac:dyDescent="0.3">
      <c r="A376" s="90" t="s">
        <v>486</v>
      </c>
      <c r="B376" s="81"/>
      <c r="C376" s="81"/>
      <c r="D376" s="81"/>
      <c r="E376" s="59"/>
      <c r="F376" s="98"/>
      <c r="G376" s="99"/>
      <c r="H376" s="96"/>
      <c r="I376" s="231"/>
      <c r="J376" s="81"/>
      <c r="K376" s="81"/>
      <c r="L376" s="81"/>
      <c r="M376" s="81">
        <v>1</v>
      </c>
      <c r="N376" s="81"/>
      <c r="O376" s="81"/>
      <c r="P376" s="41">
        <f t="shared" si="62"/>
        <v>1</v>
      </c>
      <c r="Q376" s="20">
        <v>9539840</v>
      </c>
      <c r="R376" s="20">
        <f t="shared" si="59"/>
        <v>9539840</v>
      </c>
      <c r="S376" s="81">
        <v>0</v>
      </c>
      <c r="T376" s="52">
        <f t="shared" si="60"/>
        <v>1</v>
      </c>
      <c r="U376" s="236">
        <f t="shared" si="63"/>
        <v>9539840</v>
      </c>
      <c r="V376" s="114">
        <f t="shared" si="58"/>
        <v>0</v>
      </c>
      <c r="W376" s="122"/>
    </row>
    <row r="377" spans="1:23" s="89" customFormat="1" ht="35.25" customHeight="1" x14ac:dyDescent="0.3">
      <c r="A377" s="136" t="s">
        <v>492</v>
      </c>
      <c r="B377" s="81"/>
      <c r="C377" s="81"/>
      <c r="D377" s="81"/>
      <c r="E377" s="59"/>
      <c r="F377" s="98"/>
      <c r="G377" s="99"/>
      <c r="H377" s="96"/>
      <c r="I377" s="231"/>
      <c r="J377" s="81"/>
      <c r="K377" s="81"/>
      <c r="L377" s="81"/>
      <c r="M377" s="81">
        <v>1</v>
      </c>
      <c r="N377" s="81"/>
      <c r="O377" s="81"/>
      <c r="P377" s="41">
        <f t="shared" si="62"/>
        <v>1</v>
      </c>
      <c r="Q377" s="20">
        <v>4700000</v>
      </c>
      <c r="R377" s="20">
        <f>+Q377*P377</f>
        <v>4700000</v>
      </c>
      <c r="S377" s="81">
        <v>0</v>
      </c>
      <c r="T377" s="52">
        <f t="shared" si="60"/>
        <v>1</v>
      </c>
      <c r="U377" s="236">
        <f>+R377+G377</f>
        <v>4700000</v>
      </c>
      <c r="V377" s="114">
        <f t="shared" si="58"/>
        <v>0</v>
      </c>
      <c r="W377" s="122"/>
    </row>
    <row r="378" spans="1:23" s="89" customFormat="1" ht="35.25" customHeight="1" x14ac:dyDescent="0.3">
      <c r="A378" s="90" t="s">
        <v>431</v>
      </c>
      <c r="B378" s="81"/>
      <c r="C378" s="81"/>
      <c r="D378" s="81"/>
      <c r="E378" s="59"/>
      <c r="F378" s="98"/>
      <c r="G378" s="99"/>
      <c r="H378" s="96"/>
      <c r="I378" s="231"/>
      <c r="J378" s="81"/>
      <c r="K378" s="81"/>
      <c r="L378" s="81"/>
      <c r="M378" s="81"/>
      <c r="N378" s="81"/>
      <c r="O378" s="81">
        <v>1</v>
      </c>
      <c r="P378" s="41">
        <f t="shared" si="62"/>
        <v>1</v>
      </c>
      <c r="Q378" s="20">
        <f>22000000+10000000+10000000-1090000-8910000</f>
        <v>32000000</v>
      </c>
      <c r="R378" s="20">
        <f t="shared" si="59"/>
        <v>32000000</v>
      </c>
      <c r="S378" s="81">
        <v>0</v>
      </c>
      <c r="T378" s="52">
        <f t="shared" si="60"/>
        <v>1</v>
      </c>
      <c r="U378" s="236">
        <f t="shared" si="63"/>
        <v>32000000</v>
      </c>
      <c r="V378" s="114">
        <f t="shared" si="58"/>
        <v>0</v>
      </c>
      <c r="W378" s="122"/>
    </row>
    <row r="379" spans="1:23" s="89" customFormat="1" ht="35.25" customHeight="1" x14ac:dyDescent="0.3">
      <c r="A379" s="90" t="s">
        <v>436</v>
      </c>
      <c r="B379" s="81"/>
      <c r="C379" s="81"/>
      <c r="D379" s="81"/>
      <c r="E379" s="59"/>
      <c r="F379" s="98"/>
      <c r="G379" s="99"/>
      <c r="H379" s="96"/>
      <c r="I379" s="231"/>
      <c r="J379" s="81"/>
      <c r="K379" s="81"/>
      <c r="L379" s="81"/>
      <c r="M379" s="81"/>
      <c r="N379" s="81"/>
      <c r="O379" s="81">
        <v>1</v>
      </c>
      <c r="P379" s="41">
        <f t="shared" si="62"/>
        <v>1</v>
      </c>
      <c r="Q379" s="20">
        <f>1090000+2000000+1656000+5819000</f>
        <v>10565000</v>
      </c>
      <c r="R379" s="20">
        <f t="shared" si="59"/>
        <v>10565000</v>
      </c>
      <c r="S379" s="81">
        <v>0</v>
      </c>
      <c r="T379" s="52">
        <f t="shared" si="60"/>
        <v>1</v>
      </c>
      <c r="U379" s="236">
        <f t="shared" si="63"/>
        <v>10565000</v>
      </c>
      <c r="V379" s="114">
        <f t="shared" si="58"/>
        <v>0</v>
      </c>
      <c r="W379" s="122"/>
    </row>
    <row r="380" spans="1:23" s="89" customFormat="1" ht="24" x14ac:dyDescent="0.3">
      <c r="A380" s="136" t="s">
        <v>498</v>
      </c>
      <c r="B380" s="81"/>
      <c r="C380" s="81"/>
      <c r="D380" s="81"/>
      <c r="E380" s="59"/>
      <c r="F380" s="98"/>
      <c r="G380" s="99"/>
      <c r="H380" s="96"/>
      <c r="I380" s="231"/>
      <c r="J380" s="81"/>
      <c r="K380" s="81"/>
      <c r="L380" s="81"/>
      <c r="M380" s="81"/>
      <c r="N380" s="81"/>
      <c r="O380" s="81">
        <v>1</v>
      </c>
      <c r="P380" s="41">
        <f t="shared" si="62"/>
        <v>1</v>
      </c>
      <c r="Q380" s="20">
        <v>1114254</v>
      </c>
      <c r="R380" s="20">
        <f t="shared" si="59"/>
        <v>1114254</v>
      </c>
      <c r="S380" s="81">
        <v>0</v>
      </c>
      <c r="T380" s="52">
        <f t="shared" si="60"/>
        <v>1</v>
      </c>
      <c r="U380" s="236">
        <f t="shared" si="63"/>
        <v>1114254</v>
      </c>
      <c r="V380" s="114">
        <f t="shared" si="58"/>
        <v>0</v>
      </c>
      <c r="W380" s="122"/>
    </row>
    <row r="381" spans="1:23" s="89" customFormat="1" ht="16.5" customHeight="1" x14ac:dyDescent="0.3">
      <c r="A381" s="136" t="s">
        <v>333</v>
      </c>
      <c r="B381" s="107"/>
      <c r="C381" s="64"/>
      <c r="D381" s="64"/>
      <c r="E381" s="59"/>
      <c r="F381" s="20"/>
      <c r="G381" s="99">
        <f>SUM(G344:G380)</f>
        <v>79208661</v>
      </c>
      <c r="H381" s="96"/>
      <c r="I381" s="231"/>
      <c r="J381" s="81"/>
      <c r="K381" s="81"/>
      <c r="L381" s="81"/>
      <c r="M381" s="81"/>
      <c r="N381" s="81"/>
      <c r="O381" s="81"/>
      <c r="P381" s="81"/>
      <c r="Q381" s="100"/>
      <c r="R381" s="100">
        <f>SUM(R344:R380)</f>
        <v>1302921926</v>
      </c>
      <c r="S381" s="81"/>
      <c r="T381" s="81"/>
      <c r="U381" s="236">
        <f>SUM(U344:U380)</f>
        <v>1382130587</v>
      </c>
      <c r="V381" s="114">
        <f t="shared" si="58"/>
        <v>0</v>
      </c>
      <c r="W381" s="122"/>
    </row>
    <row r="382" spans="1:23" s="89" customFormat="1" ht="16.5" customHeight="1" x14ac:dyDescent="0.3">
      <c r="A382" s="136" t="s">
        <v>111</v>
      </c>
      <c r="B382" s="81"/>
      <c r="C382" s="81"/>
      <c r="D382" s="81"/>
      <c r="E382" s="59"/>
      <c r="F382" s="98"/>
      <c r="G382" s="99"/>
      <c r="H382" s="96"/>
      <c r="I382" s="231"/>
      <c r="J382" s="81"/>
      <c r="K382" s="81"/>
      <c r="L382" s="81"/>
      <c r="M382" s="81"/>
      <c r="N382" s="81"/>
      <c r="O382" s="81"/>
      <c r="P382" s="81"/>
      <c r="Q382" s="20"/>
      <c r="R382" s="20"/>
      <c r="S382" s="81"/>
      <c r="T382" s="44"/>
      <c r="U382" s="236"/>
      <c r="V382" s="114">
        <f t="shared" si="58"/>
        <v>0</v>
      </c>
      <c r="W382" s="122"/>
    </row>
    <row r="383" spans="1:23" s="89" customFormat="1" ht="16.5" customHeight="1" x14ac:dyDescent="0.3">
      <c r="A383" s="90" t="s">
        <v>112</v>
      </c>
      <c r="B383" s="81"/>
      <c r="C383" s="64"/>
      <c r="D383" s="64"/>
      <c r="E383" s="59">
        <v>1</v>
      </c>
      <c r="F383" s="97">
        <f>2162500+(2162500*4%)</f>
        <v>2249000</v>
      </c>
      <c r="G383" s="83">
        <f>+F383*E383</f>
        <v>2249000</v>
      </c>
      <c r="H383" s="96"/>
      <c r="I383" s="231"/>
      <c r="J383" s="81"/>
      <c r="K383" s="81"/>
      <c r="L383" s="81"/>
      <c r="M383" s="81"/>
      <c r="N383" s="81"/>
      <c r="O383" s="81"/>
      <c r="P383" s="81"/>
      <c r="Q383" s="20"/>
      <c r="R383" s="20">
        <f>+Q383*P383</f>
        <v>0</v>
      </c>
      <c r="S383" s="81"/>
      <c r="T383" s="52">
        <f>+E383+P383</f>
        <v>1</v>
      </c>
      <c r="U383" s="236">
        <f>+T383*F383</f>
        <v>2249000</v>
      </c>
      <c r="V383" s="114">
        <f t="shared" si="58"/>
        <v>0</v>
      </c>
      <c r="W383" s="122"/>
    </row>
    <row r="384" spans="1:23" s="89" customFormat="1" ht="24" customHeight="1" x14ac:dyDescent="0.3">
      <c r="A384" s="90" t="s">
        <v>335</v>
      </c>
      <c r="B384" s="81"/>
      <c r="C384" s="64"/>
      <c r="D384" s="81"/>
      <c r="E384" s="59">
        <v>1</v>
      </c>
      <c r="F384" s="97">
        <v>5000000</v>
      </c>
      <c r="G384" s="83">
        <f>+F384*E384</f>
        <v>5000000</v>
      </c>
      <c r="H384" s="96"/>
      <c r="I384" s="231"/>
      <c r="J384" s="81"/>
      <c r="K384" s="81"/>
      <c r="L384" s="81"/>
      <c r="M384" s="81"/>
      <c r="N384" s="81"/>
      <c r="O384" s="81"/>
      <c r="P384" s="81"/>
      <c r="Q384" s="20"/>
      <c r="R384" s="20">
        <f>+Q384*P384</f>
        <v>0</v>
      </c>
      <c r="S384" s="81"/>
      <c r="T384" s="52">
        <f>+E384+P384</f>
        <v>1</v>
      </c>
      <c r="U384" s="236">
        <f>+T384*F384</f>
        <v>5000000</v>
      </c>
      <c r="V384" s="114">
        <f t="shared" si="58"/>
        <v>0</v>
      </c>
      <c r="W384" s="122"/>
    </row>
    <row r="385" spans="1:23" s="89" customFormat="1" ht="16.5" customHeight="1" x14ac:dyDescent="0.3">
      <c r="A385" s="90" t="s">
        <v>113</v>
      </c>
      <c r="B385" s="81"/>
      <c r="C385" s="81"/>
      <c r="D385" s="81"/>
      <c r="E385" s="68">
        <v>1</v>
      </c>
      <c r="F385" s="97">
        <f>22751000-10000000-3798000</f>
        <v>8953000</v>
      </c>
      <c r="G385" s="83">
        <f>+F385*E385</f>
        <v>8953000</v>
      </c>
      <c r="H385" s="96"/>
      <c r="I385" s="231"/>
      <c r="J385" s="81"/>
      <c r="K385" s="81"/>
      <c r="L385" s="81"/>
      <c r="M385" s="81"/>
      <c r="N385" s="81"/>
      <c r="O385" s="81"/>
      <c r="P385" s="81"/>
      <c r="Q385" s="20"/>
      <c r="R385" s="20">
        <f>+Q385*P385</f>
        <v>0</v>
      </c>
      <c r="S385" s="81"/>
      <c r="T385" s="52">
        <f>+E385+P385</f>
        <v>1</v>
      </c>
      <c r="U385" s="236">
        <f>+T385*F385</f>
        <v>8953000</v>
      </c>
      <c r="V385" s="114">
        <f t="shared" si="58"/>
        <v>0</v>
      </c>
      <c r="W385" s="122"/>
    </row>
    <row r="386" spans="1:23" s="89" customFormat="1" ht="16.5" customHeight="1" x14ac:dyDescent="0.3">
      <c r="A386" s="136" t="s">
        <v>114</v>
      </c>
      <c r="B386" s="81"/>
      <c r="C386" s="81"/>
      <c r="D386" s="81"/>
      <c r="E386" s="59"/>
      <c r="F386" s="98"/>
      <c r="G386" s="99">
        <f>SUM(G383:G385)</f>
        <v>16202000</v>
      </c>
      <c r="H386" s="96"/>
      <c r="I386" s="231"/>
      <c r="J386" s="81"/>
      <c r="K386" s="81"/>
      <c r="L386" s="81"/>
      <c r="M386" s="81"/>
      <c r="N386" s="81"/>
      <c r="O386" s="81"/>
      <c r="P386" s="81"/>
      <c r="Q386" s="20"/>
      <c r="R386" s="100">
        <f>SUM(R383:R385)</f>
        <v>0</v>
      </c>
      <c r="S386" s="81"/>
      <c r="T386" s="81"/>
      <c r="U386" s="236">
        <f>SUM(U383:U385)</f>
        <v>16202000</v>
      </c>
      <c r="V386" s="114">
        <f t="shared" si="58"/>
        <v>0</v>
      </c>
      <c r="W386" s="122"/>
    </row>
    <row r="387" spans="1:23" ht="16.5" customHeight="1" x14ac:dyDescent="0.3">
      <c r="A387" s="136" t="s">
        <v>115</v>
      </c>
      <c r="B387" s="107"/>
      <c r="C387" s="107"/>
      <c r="D387" s="107"/>
      <c r="E387" s="108"/>
      <c r="F387" s="117"/>
      <c r="G387" s="99">
        <f>+G386+G381</f>
        <v>95410661</v>
      </c>
      <c r="H387" s="120"/>
      <c r="I387" s="116"/>
      <c r="J387" s="107"/>
      <c r="K387" s="107"/>
      <c r="L387" s="107"/>
      <c r="M387" s="107"/>
      <c r="N387" s="107"/>
      <c r="O387" s="107"/>
      <c r="P387" s="107"/>
      <c r="Q387" s="70"/>
      <c r="R387" s="100">
        <f>+R386+R381</f>
        <v>1302921926</v>
      </c>
      <c r="S387" s="107"/>
      <c r="T387" s="107"/>
      <c r="U387" s="236">
        <f>+U386+U381</f>
        <v>1398332587</v>
      </c>
      <c r="V387" s="114">
        <f t="shared" si="58"/>
        <v>0</v>
      </c>
    </row>
    <row r="388" spans="1:23" s="89" customFormat="1" ht="16.5" customHeight="1" x14ac:dyDescent="0.3">
      <c r="A388" s="136" t="s">
        <v>106</v>
      </c>
      <c r="B388" s="81"/>
      <c r="C388" s="81"/>
      <c r="D388" s="81"/>
      <c r="E388" s="59"/>
      <c r="F388" s="98"/>
      <c r="G388" s="99"/>
      <c r="H388" s="96"/>
      <c r="I388" s="231"/>
      <c r="J388" s="81"/>
      <c r="K388" s="81"/>
      <c r="L388" s="81"/>
      <c r="M388" s="81"/>
      <c r="N388" s="81"/>
      <c r="O388" s="81"/>
      <c r="P388" s="81"/>
      <c r="Q388" s="81"/>
      <c r="R388" s="20"/>
      <c r="S388" s="81"/>
      <c r="T388" s="44"/>
      <c r="U388" s="236"/>
      <c r="V388" s="114">
        <f t="shared" si="58"/>
        <v>0</v>
      </c>
      <c r="W388" s="122"/>
    </row>
    <row r="389" spans="1:23" s="89" customFormat="1" ht="16.5" customHeight="1" x14ac:dyDescent="0.3">
      <c r="A389" s="90" t="s">
        <v>107</v>
      </c>
      <c r="B389" s="81"/>
      <c r="C389" s="64">
        <v>1</v>
      </c>
      <c r="D389" s="64"/>
      <c r="E389" s="59">
        <v>1</v>
      </c>
      <c r="F389" s="97">
        <v>193715381</v>
      </c>
      <c r="G389" s="83">
        <f>F389</f>
        <v>193715381</v>
      </c>
      <c r="H389" s="96"/>
      <c r="I389" s="231"/>
      <c r="J389" s="81"/>
      <c r="K389" s="81"/>
      <c r="L389" s="81"/>
      <c r="M389" s="81"/>
      <c r="N389" s="81"/>
      <c r="O389" s="81"/>
      <c r="P389" s="81"/>
      <c r="Q389" s="20"/>
      <c r="R389" s="20">
        <f t="shared" si="59"/>
        <v>0</v>
      </c>
      <c r="S389" s="81"/>
      <c r="T389" s="52">
        <f>+E389+P389</f>
        <v>1</v>
      </c>
      <c r="U389" s="236">
        <f>+T389*F389</f>
        <v>193715381</v>
      </c>
      <c r="V389" s="114">
        <f t="shared" si="58"/>
        <v>0</v>
      </c>
      <c r="W389" s="122"/>
    </row>
    <row r="390" spans="1:23" s="89" customFormat="1" ht="16.5" customHeight="1" x14ac:dyDescent="0.3">
      <c r="A390" s="136" t="s">
        <v>108</v>
      </c>
      <c r="B390" s="81"/>
      <c r="C390" s="64"/>
      <c r="D390" s="64"/>
      <c r="E390" s="59"/>
      <c r="F390" s="98"/>
      <c r="G390" s="99">
        <f>G389</f>
        <v>193715381</v>
      </c>
      <c r="H390" s="96"/>
      <c r="I390" s="231"/>
      <c r="J390" s="81"/>
      <c r="K390" s="81"/>
      <c r="L390" s="81"/>
      <c r="M390" s="81"/>
      <c r="N390" s="81"/>
      <c r="O390" s="81"/>
      <c r="P390" s="81"/>
      <c r="Q390" s="20"/>
      <c r="R390" s="100">
        <f>R389</f>
        <v>0</v>
      </c>
      <c r="S390" s="81"/>
      <c r="T390" s="44"/>
      <c r="U390" s="236">
        <f>U389</f>
        <v>193715381</v>
      </c>
      <c r="V390" s="114">
        <f t="shared" si="58"/>
        <v>0</v>
      </c>
      <c r="W390" s="122"/>
    </row>
    <row r="391" spans="1:23" s="89" customFormat="1" ht="16.5" customHeight="1" x14ac:dyDescent="0.3">
      <c r="A391" s="136" t="s">
        <v>503</v>
      </c>
      <c r="B391" s="81"/>
      <c r="C391" s="64"/>
      <c r="D391" s="64"/>
      <c r="E391" s="59"/>
      <c r="F391" s="98"/>
      <c r="G391" s="99"/>
      <c r="H391" s="96"/>
      <c r="I391" s="231"/>
      <c r="J391" s="81"/>
      <c r="K391" s="81"/>
      <c r="L391" s="81"/>
      <c r="M391" s="81"/>
      <c r="N391" s="81"/>
      <c r="O391" s="81"/>
      <c r="P391" s="81"/>
      <c r="Q391" s="20"/>
      <c r="R391" s="20"/>
      <c r="S391" s="81"/>
      <c r="T391" s="44"/>
      <c r="U391" s="236"/>
      <c r="V391" s="114">
        <f t="shared" ref="V391:V453" si="64">+G391+R391-U391</f>
        <v>0</v>
      </c>
      <c r="W391" s="122"/>
    </row>
    <row r="392" spans="1:23" s="89" customFormat="1" ht="16.5" customHeight="1" x14ac:dyDescent="0.3">
      <c r="A392" s="90" t="s">
        <v>109</v>
      </c>
      <c r="B392" s="81"/>
      <c r="C392" s="64">
        <v>1</v>
      </c>
      <c r="D392" s="64"/>
      <c r="E392" s="59">
        <v>1</v>
      </c>
      <c r="F392" s="97">
        <v>437103008</v>
      </c>
      <c r="G392" s="83">
        <f>F392</f>
        <v>437103008</v>
      </c>
      <c r="H392" s="96"/>
      <c r="I392" s="231"/>
      <c r="J392" s="81"/>
      <c r="K392" s="81"/>
      <c r="L392" s="81"/>
      <c r="M392" s="81"/>
      <c r="N392" s="81"/>
      <c r="O392" s="81"/>
      <c r="P392" s="81"/>
      <c r="Q392" s="20"/>
      <c r="R392" s="20">
        <f t="shared" si="59"/>
        <v>0</v>
      </c>
      <c r="S392" s="81"/>
      <c r="T392" s="52">
        <f>+E392+P392</f>
        <v>1</v>
      </c>
      <c r="U392" s="236">
        <f>+T392*F392</f>
        <v>437103008</v>
      </c>
      <c r="V392" s="114">
        <f t="shared" si="64"/>
        <v>0</v>
      </c>
      <c r="W392" s="122"/>
    </row>
    <row r="393" spans="1:23" s="89" customFormat="1" ht="16.5" customHeight="1" x14ac:dyDescent="0.3">
      <c r="A393" s="136" t="s">
        <v>110</v>
      </c>
      <c r="B393" s="81"/>
      <c r="C393" s="81"/>
      <c r="D393" s="81"/>
      <c r="E393" s="59"/>
      <c r="F393" s="98"/>
      <c r="G393" s="99">
        <f>G392</f>
        <v>437103008</v>
      </c>
      <c r="H393" s="96"/>
      <c r="I393" s="231"/>
      <c r="J393" s="81"/>
      <c r="K393" s="81"/>
      <c r="L393" s="81"/>
      <c r="M393" s="81"/>
      <c r="N393" s="81"/>
      <c r="O393" s="81"/>
      <c r="P393" s="81"/>
      <c r="Q393" s="20"/>
      <c r="R393" s="100">
        <f>R392</f>
        <v>0</v>
      </c>
      <c r="S393" s="81"/>
      <c r="T393" s="44"/>
      <c r="U393" s="236">
        <f>U392</f>
        <v>437103008</v>
      </c>
      <c r="V393" s="114">
        <f t="shared" si="64"/>
        <v>0</v>
      </c>
      <c r="W393" s="122"/>
    </row>
    <row r="394" spans="1:23" ht="16.5" customHeight="1" x14ac:dyDescent="0.3">
      <c r="A394" s="119" t="s">
        <v>116</v>
      </c>
      <c r="B394" s="107"/>
      <c r="C394" s="137"/>
      <c r="D394" s="107"/>
      <c r="E394" s="108"/>
      <c r="F394" s="117"/>
      <c r="G394" s="118"/>
      <c r="H394" s="120"/>
      <c r="I394" s="116"/>
      <c r="J394" s="107"/>
      <c r="K394" s="107"/>
      <c r="L394" s="107"/>
      <c r="M394" s="107"/>
      <c r="N394" s="107"/>
      <c r="O394" s="107"/>
      <c r="P394" s="107"/>
      <c r="Q394" s="70"/>
      <c r="R394" s="70"/>
      <c r="S394" s="107"/>
      <c r="T394" s="44"/>
      <c r="U394" s="236"/>
      <c r="V394" s="114">
        <f t="shared" si="64"/>
        <v>0</v>
      </c>
    </row>
    <row r="395" spans="1:23" s="89" customFormat="1" ht="16.5" customHeight="1" x14ac:dyDescent="0.3">
      <c r="A395" s="90" t="s">
        <v>117</v>
      </c>
      <c r="B395" s="81"/>
      <c r="C395" s="64">
        <v>1</v>
      </c>
      <c r="D395" s="81"/>
      <c r="E395" s="59">
        <v>1</v>
      </c>
      <c r="F395" s="97">
        <v>50148000</v>
      </c>
      <c r="G395" s="83">
        <f>F395</f>
        <v>50148000</v>
      </c>
      <c r="H395" s="84"/>
      <c r="I395" s="231"/>
      <c r="J395" s="81"/>
      <c r="K395" s="81"/>
      <c r="L395" s="81"/>
      <c r="M395" s="81"/>
      <c r="N395" s="81"/>
      <c r="O395" s="81"/>
      <c r="P395" s="81"/>
      <c r="Q395" s="81"/>
      <c r="R395" s="20">
        <f t="shared" si="59"/>
        <v>0</v>
      </c>
      <c r="S395" s="81"/>
      <c r="T395" s="52">
        <f>+E395+P395</f>
        <v>1</v>
      </c>
      <c r="U395" s="236">
        <f>+T395*F395</f>
        <v>50148000</v>
      </c>
      <c r="V395" s="114">
        <f t="shared" si="64"/>
        <v>0</v>
      </c>
      <c r="W395" s="122"/>
    </row>
    <row r="396" spans="1:23" s="89" customFormat="1" ht="47.25" customHeight="1" x14ac:dyDescent="0.3">
      <c r="A396" s="90" t="s">
        <v>275</v>
      </c>
      <c r="B396" s="81"/>
      <c r="C396" s="64">
        <v>1</v>
      </c>
      <c r="D396" s="81"/>
      <c r="E396" s="59">
        <v>1</v>
      </c>
      <c r="F396" s="97">
        <f>50000000-12000000-12000000-12873000</f>
        <v>13127000</v>
      </c>
      <c r="G396" s="83">
        <f>+F396</f>
        <v>13127000</v>
      </c>
      <c r="H396" s="96"/>
      <c r="I396" s="231"/>
      <c r="J396" s="81"/>
      <c r="K396" s="81"/>
      <c r="L396" s="81"/>
      <c r="M396" s="81"/>
      <c r="N396" s="81">
        <v>1</v>
      </c>
      <c r="O396" s="81"/>
      <c r="P396" s="41">
        <f>SUBTOTAL(9,I396:O396)</f>
        <v>1</v>
      </c>
      <c r="Q396" s="20">
        <f>221149565+19765781-74118544</f>
        <v>166796802</v>
      </c>
      <c r="R396" s="20">
        <f t="shared" si="59"/>
        <v>166796802</v>
      </c>
      <c r="S396" s="81"/>
      <c r="T396" s="52">
        <f>+E396+P396</f>
        <v>2</v>
      </c>
      <c r="U396" s="236">
        <f>+R396+G396</f>
        <v>179923802</v>
      </c>
      <c r="V396" s="114">
        <f t="shared" si="64"/>
        <v>0</v>
      </c>
      <c r="W396" s="122"/>
    </row>
    <row r="397" spans="1:23" s="89" customFormat="1" ht="32.25" customHeight="1" x14ac:dyDescent="0.3">
      <c r="A397" s="90" t="s">
        <v>496</v>
      </c>
      <c r="B397" s="81"/>
      <c r="C397" s="64"/>
      <c r="D397" s="81"/>
      <c r="E397" s="59"/>
      <c r="F397" s="97"/>
      <c r="G397" s="83"/>
      <c r="H397" s="96"/>
      <c r="I397" s="231"/>
      <c r="J397" s="81"/>
      <c r="K397" s="81"/>
      <c r="L397" s="81"/>
      <c r="M397" s="81"/>
      <c r="N397" s="81">
        <v>1</v>
      </c>
      <c r="O397" s="81"/>
      <c r="P397" s="41">
        <f>SUBTOTAL(9,I397:O397)</f>
        <v>1</v>
      </c>
      <c r="Q397" s="20">
        <v>25400049</v>
      </c>
      <c r="R397" s="20">
        <f t="shared" si="59"/>
        <v>25400049</v>
      </c>
      <c r="S397" s="81">
        <v>0</v>
      </c>
      <c r="T397" s="52">
        <f>+E397+P397</f>
        <v>1</v>
      </c>
      <c r="U397" s="236">
        <f>+R397+G397</f>
        <v>25400049</v>
      </c>
      <c r="V397" s="114">
        <f t="shared" si="64"/>
        <v>0</v>
      </c>
      <c r="W397" s="122"/>
    </row>
    <row r="398" spans="1:23" s="89" customFormat="1" ht="24" customHeight="1" x14ac:dyDescent="0.3">
      <c r="A398" s="90" t="s">
        <v>118</v>
      </c>
      <c r="B398" s="81"/>
      <c r="C398" s="64">
        <v>1</v>
      </c>
      <c r="D398" s="81"/>
      <c r="E398" s="59">
        <v>1</v>
      </c>
      <c r="F398" s="97">
        <v>3052000</v>
      </c>
      <c r="G398" s="83">
        <f>F398</f>
        <v>3052000</v>
      </c>
      <c r="H398" s="96"/>
      <c r="I398" s="231"/>
      <c r="J398" s="81"/>
      <c r="K398" s="81"/>
      <c r="L398" s="81"/>
      <c r="M398" s="81"/>
      <c r="N398" s="81"/>
      <c r="O398" s="81"/>
      <c r="P398" s="81"/>
      <c r="Q398" s="81"/>
      <c r="R398" s="20"/>
      <c r="S398" s="81"/>
      <c r="T398" s="52">
        <f>+E398+P398</f>
        <v>1</v>
      </c>
      <c r="U398" s="236">
        <f>+T398*F398</f>
        <v>3052000</v>
      </c>
      <c r="V398" s="114">
        <f t="shared" si="64"/>
        <v>0</v>
      </c>
      <c r="W398" s="122"/>
    </row>
    <row r="399" spans="1:23" s="89" customFormat="1" ht="16.5" customHeight="1" x14ac:dyDescent="0.3">
      <c r="A399" s="136" t="s">
        <v>119</v>
      </c>
      <c r="B399" s="81"/>
      <c r="C399" s="64"/>
      <c r="D399" s="81"/>
      <c r="E399" s="59"/>
      <c r="F399" s="98"/>
      <c r="G399" s="99">
        <f>SUM(G395:G398)</f>
        <v>66327000</v>
      </c>
      <c r="H399" s="96"/>
      <c r="I399" s="231"/>
      <c r="J399" s="81"/>
      <c r="K399" s="81"/>
      <c r="L399" s="81"/>
      <c r="M399" s="81"/>
      <c r="N399" s="81"/>
      <c r="O399" s="81"/>
      <c r="P399" s="81"/>
      <c r="Q399" s="20"/>
      <c r="R399" s="100">
        <f>SUM(R395:R398)</f>
        <v>192196851</v>
      </c>
      <c r="S399" s="81"/>
      <c r="T399" s="81"/>
      <c r="U399" s="236">
        <f>SUM(U395:U398)</f>
        <v>258523851</v>
      </c>
      <c r="V399" s="114">
        <f t="shared" si="64"/>
        <v>0</v>
      </c>
      <c r="W399" s="122"/>
    </row>
    <row r="400" spans="1:23" s="89" customFormat="1" ht="18.75" customHeight="1" x14ac:dyDescent="0.3">
      <c r="A400" s="251" t="s">
        <v>120</v>
      </c>
      <c r="B400" s="81"/>
      <c r="C400" s="81"/>
      <c r="D400" s="81"/>
      <c r="E400" s="59"/>
      <c r="F400" s="81"/>
      <c r="G400" s="83"/>
      <c r="H400" s="96"/>
      <c r="I400" s="231"/>
      <c r="J400" s="81"/>
      <c r="K400" s="81"/>
      <c r="L400" s="81"/>
      <c r="M400" s="81"/>
      <c r="N400" s="81"/>
      <c r="O400" s="81"/>
      <c r="P400" s="81"/>
      <c r="Q400" s="81"/>
      <c r="R400" s="20"/>
      <c r="S400" s="81"/>
      <c r="T400" s="44"/>
      <c r="U400" s="236"/>
      <c r="V400" s="114">
        <f t="shared" si="64"/>
        <v>0</v>
      </c>
      <c r="W400" s="122"/>
    </row>
    <row r="401" spans="1:23" s="89" customFormat="1" ht="16.5" customHeight="1" x14ac:dyDescent="0.3">
      <c r="A401" s="90" t="s">
        <v>121</v>
      </c>
      <c r="B401" s="81"/>
      <c r="C401" s="81">
        <v>1</v>
      </c>
      <c r="D401" s="81"/>
      <c r="E401" s="59">
        <v>1</v>
      </c>
      <c r="F401" s="97">
        <f>7410000-674000</f>
        <v>6736000</v>
      </c>
      <c r="G401" s="83">
        <f>+F401*E401</f>
        <v>6736000</v>
      </c>
      <c r="H401" s="96"/>
      <c r="I401" s="231"/>
      <c r="J401" s="81"/>
      <c r="K401" s="81"/>
      <c r="L401" s="81"/>
      <c r="M401" s="81"/>
      <c r="N401" s="81"/>
      <c r="O401" s="81"/>
      <c r="P401" s="81"/>
      <c r="Q401" s="20"/>
      <c r="R401" s="20">
        <f t="shared" ref="R401:R411" si="65">+Q401*P401</f>
        <v>0</v>
      </c>
      <c r="S401" s="81"/>
      <c r="T401" s="52">
        <f>+E401+P401</f>
        <v>1</v>
      </c>
      <c r="U401" s="236">
        <f>+T401*F401</f>
        <v>6736000</v>
      </c>
      <c r="V401" s="114">
        <f t="shared" si="64"/>
        <v>0</v>
      </c>
      <c r="W401" s="122"/>
    </row>
    <row r="402" spans="1:23" s="89" customFormat="1" ht="24" customHeight="1" x14ac:dyDescent="0.3">
      <c r="A402" s="90" t="s">
        <v>122</v>
      </c>
      <c r="B402" s="81">
        <v>1</v>
      </c>
      <c r="C402" s="81">
        <v>1</v>
      </c>
      <c r="D402" s="81"/>
      <c r="E402" s="59">
        <v>1</v>
      </c>
      <c r="F402" s="97">
        <v>4000000</v>
      </c>
      <c r="G402" s="83">
        <f>+F402*E402</f>
        <v>4000000</v>
      </c>
      <c r="H402" s="96"/>
      <c r="I402" s="231"/>
      <c r="J402" s="81"/>
      <c r="K402" s="81"/>
      <c r="L402" s="81"/>
      <c r="M402" s="81"/>
      <c r="N402" s="81"/>
      <c r="O402" s="81"/>
      <c r="P402" s="81"/>
      <c r="Q402" s="20"/>
      <c r="R402" s="20">
        <f t="shared" si="65"/>
        <v>0</v>
      </c>
      <c r="S402" s="81"/>
      <c r="T402" s="52">
        <f>+E402+P402</f>
        <v>1</v>
      </c>
      <c r="U402" s="236">
        <f>+T402*F402</f>
        <v>4000000</v>
      </c>
      <c r="V402" s="114">
        <f t="shared" si="64"/>
        <v>0</v>
      </c>
      <c r="W402" s="122"/>
    </row>
    <row r="403" spans="1:23" s="89" customFormat="1" ht="16.5" customHeight="1" x14ac:dyDescent="0.3">
      <c r="A403" s="136" t="s">
        <v>123</v>
      </c>
      <c r="B403" s="81"/>
      <c r="C403" s="81"/>
      <c r="D403" s="81"/>
      <c r="E403" s="59"/>
      <c r="F403" s="98"/>
      <c r="G403" s="99">
        <f>SUM(G401:G402)</f>
        <v>10736000</v>
      </c>
      <c r="H403" s="96"/>
      <c r="I403" s="231"/>
      <c r="J403" s="81"/>
      <c r="K403" s="81"/>
      <c r="L403" s="81"/>
      <c r="M403" s="81"/>
      <c r="N403" s="81"/>
      <c r="O403" s="81"/>
      <c r="P403" s="81"/>
      <c r="Q403" s="20"/>
      <c r="R403" s="100">
        <f>SUM(R401:R402)</f>
        <v>0</v>
      </c>
      <c r="S403" s="81"/>
      <c r="T403" s="81"/>
      <c r="U403" s="236">
        <f>SUM(U401:U402)</f>
        <v>10736000</v>
      </c>
      <c r="V403" s="114">
        <f t="shared" si="64"/>
        <v>0</v>
      </c>
      <c r="W403" s="122"/>
    </row>
    <row r="404" spans="1:23" s="89" customFormat="1" ht="16.5" customHeight="1" x14ac:dyDescent="0.3">
      <c r="A404" s="136" t="s">
        <v>124</v>
      </c>
      <c r="B404" s="81"/>
      <c r="C404" s="81"/>
      <c r="D404" s="81"/>
      <c r="E404" s="59"/>
      <c r="F404" s="97"/>
      <c r="G404" s="83"/>
      <c r="H404" s="96"/>
      <c r="I404" s="231"/>
      <c r="J404" s="81"/>
      <c r="K404" s="81"/>
      <c r="L404" s="81"/>
      <c r="M404" s="81"/>
      <c r="N404" s="81"/>
      <c r="O404" s="81"/>
      <c r="P404" s="81"/>
      <c r="Q404" s="20"/>
      <c r="R404" s="20"/>
      <c r="S404" s="81"/>
      <c r="T404" s="44"/>
      <c r="U404" s="236"/>
      <c r="V404" s="114">
        <f t="shared" si="64"/>
        <v>0</v>
      </c>
      <c r="W404" s="122"/>
    </row>
    <row r="405" spans="1:23" s="89" customFormat="1" ht="16.5" customHeight="1" x14ac:dyDescent="0.3">
      <c r="A405" s="90" t="s">
        <v>300</v>
      </c>
      <c r="B405" s="81"/>
      <c r="C405" s="81"/>
      <c r="D405" s="81"/>
      <c r="E405" s="59">
        <v>1</v>
      </c>
      <c r="F405" s="97">
        <f>36000000-10000000</f>
        <v>26000000</v>
      </c>
      <c r="G405" s="83">
        <f>+F405</f>
        <v>26000000</v>
      </c>
      <c r="H405" s="96"/>
      <c r="I405" s="231"/>
      <c r="J405" s="81"/>
      <c r="K405" s="81"/>
      <c r="L405" s="81"/>
      <c r="M405" s="81"/>
      <c r="N405" s="81"/>
      <c r="O405" s="81"/>
      <c r="P405" s="81"/>
      <c r="Q405" s="20"/>
      <c r="R405" s="20">
        <f t="shared" si="65"/>
        <v>0</v>
      </c>
      <c r="S405" s="81"/>
      <c r="T405" s="52">
        <f>+E405+P405</f>
        <v>1</v>
      </c>
      <c r="U405" s="236">
        <f>+T405*F405</f>
        <v>26000000</v>
      </c>
      <c r="V405" s="114">
        <f t="shared" si="64"/>
        <v>0</v>
      </c>
      <c r="W405" s="122"/>
    </row>
    <row r="406" spans="1:23" s="89" customFormat="1" ht="32.25" customHeight="1" x14ac:dyDescent="0.3">
      <c r="A406" s="139" t="s">
        <v>125</v>
      </c>
      <c r="B406" s="81"/>
      <c r="C406" s="81"/>
      <c r="D406" s="81"/>
      <c r="E406" s="59"/>
      <c r="F406" s="97"/>
      <c r="G406" s="99">
        <f>G405</f>
        <v>26000000</v>
      </c>
      <c r="H406" s="96"/>
      <c r="I406" s="231"/>
      <c r="J406" s="81"/>
      <c r="K406" s="81"/>
      <c r="L406" s="81"/>
      <c r="M406" s="81"/>
      <c r="N406" s="81"/>
      <c r="O406" s="81"/>
      <c r="P406" s="81"/>
      <c r="Q406" s="20"/>
      <c r="R406" s="100">
        <f>R405</f>
        <v>0</v>
      </c>
      <c r="S406" s="81"/>
      <c r="T406" s="44"/>
      <c r="U406" s="236">
        <f>U405</f>
        <v>26000000</v>
      </c>
      <c r="V406" s="114">
        <f t="shared" si="64"/>
        <v>0</v>
      </c>
      <c r="W406" s="122"/>
    </row>
    <row r="407" spans="1:23" s="89" customFormat="1" ht="16.5" customHeight="1" x14ac:dyDescent="0.3">
      <c r="A407" s="90" t="s">
        <v>126</v>
      </c>
      <c r="B407" s="81"/>
      <c r="C407" s="81"/>
      <c r="D407" s="81"/>
      <c r="E407" s="59">
        <v>1</v>
      </c>
      <c r="F407" s="97">
        <f>210000000-15000000+10000000</f>
        <v>205000000</v>
      </c>
      <c r="G407" s="83">
        <f>F407</f>
        <v>205000000</v>
      </c>
      <c r="H407" s="96"/>
      <c r="I407" s="231"/>
      <c r="J407" s="81"/>
      <c r="K407" s="81"/>
      <c r="L407" s="81"/>
      <c r="M407" s="81"/>
      <c r="N407" s="81"/>
      <c r="O407" s="81"/>
      <c r="P407" s="81"/>
      <c r="Q407" s="20"/>
      <c r="R407" s="20">
        <f t="shared" si="65"/>
        <v>0</v>
      </c>
      <c r="S407" s="81"/>
      <c r="T407" s="52">
        <f>+E407+P407</f>
        <v>1</v>
      </c>
      <c r="U407" s="236">
        <f>+T407*F407</f>
        <v>205000000</v>
      </c>
      <c r="V407" s="114">
        <f t="shared" si="64"/>
        <v>0</v>
      </c>
      <c r="W407" s="122"/>
    </row>
    <row r="408" spans="1:23" s="89" customFormat="1" ht="16.5" customHeight="1" x14ac:dyDescent="0.3">
      <c r="A408" s="136" t="s">
        <v>127</v>
      </c>
      <c r="B408" s="81"/>
      <c r="C408" s="81"/>
      <c r="D408" s="81"/>
      <c r="E408" s="59"/>
      <c r="F408" s="98"/>
      <c r="G408" s="99">
        <f>G407</f>
        <v>205000000</v>
      </c>
      <c r="H408" s="96"/>
      <c r="I408" s="231"/>
      <c r="J408" s="81"/>
      <c r="K408" s="81"/>
      <c r="L408" s="81"/>
      <c r="M408" s="81"/>
      <c r="N408" s="81"/>
      <c r="O408" s="81"/>
      <c r="P408" s="81"/>
      <c r="Q408" s="20"/>
      <c r="R408" s="100">
        <f>R407</f>
        <v>0</v>
      </c>
      <c r="S408" s="81"/>
      <c r="T408" s="44"/>
      <c r="U408" s="236">
        <f>U407</f>
        <v>205000000</v>
      </c>
      <c r="V408" s="114">
        <f t="shared" si="64"/>
        <v>0</v>
      </c>
      <c r="W408" s="122"/>
    </row>
    <row r="409" spans="1:23" s="89" customFormat="1" ht="16.5" customHeight="1" x14ac:dyDescent="0.3">
      <c r="A409" s="136" t="s">
        <v>128</v>
      </c>
      <c r="B409" s="81"/>
      <c r="C409" s="81"/>
      <c r="D409" s="81"/>
      <c r="E409" s="59"/>
      <c r="F409" s="81"/>
      <c r="G409" s="83"/>
      <c r="H409" s="96"/>
      <c r="I409" s="231"/>
      <c r="J409" s="81"/>
      <c r="K409" s="81"/>
      <c r="L409" s="81"/>
      <c r="M409" s="81"/>
      <c r="N409" s="81"/>
      <c r="O409" s="81"/>
      <c r="P409" s="81"/>
      <c r="Q409" s="20"/>
      <c r="R409" s="20"/>
      <c r="S409" s="81"/>
      <c r="T409" s="44"/>
      <c r="U409" s="236"/>
      <c r="V409" s="114">
        <f t="shared" si="64"/>
        <v>0</v>
      </c>
      <c r="W409" s="122"/>
    </row>
    <row r="410" spans="1:23" s="89" customFormat="1" ht="16.5" customHeight="1" x14ac:dyDescent="0.3">
      <c r="A410" s="90" t="s">
        <v>129</v>
      </c>
      <c r="B410" s="81"/>
      <c r="C410" s="81"/>
      <c r="D410" s="81"/>
      <c r="E410" s="59">
        <v>1</v>
      </c>
      <c r="F410" s="97">
        <f>15000000-5000000</f>
        <v>10000000</v>
      </c>
      <c r="G410" s="83">
        <f>+F410</f>
        <v>10000000</v>
      </c>
      <c r="H410" s="96"/>
      <c r="I410" s="231"/>
      <c r="J410" s="81"/>
      <c r="K410" s="81"/>
      <c r="L410" s="81"/>
      <c r="M410" s="81"/>
      <c r="N410" s="81"/>
      <c r="O410" s="81"/>
      <c r="P410" s="81"/>
      <c r="Q410" s="20"/>
      <c r="R410" s="20">
        <f t="shared" si="65"/>
        <v>0</v>
      </c>
      <c r="S410" s="81"/>
      <c r="T410" s="52">
        <f>+E410+P410</f>
        <v>1</v>
      </c>
      <c r="U410" s="236">
        <f>+T410*F410</f>
        <v>10000000</v>
      </c>
      <c r="V410" s="114">
        <f t="shared" si="64"/>
        <v>0</v>
      </c>
      <c r="W410" s="122"/>
    </row>
    <row r="411" spans="1:23" s="89" customFormat="1" ht="16.5" customHeight="1" x14ac:dyDescent="0.3">
      <c r="A411" s="90" t="s">
        <v>130</v>
      </c>
      <c r="B411" s="81"/>
      <c r="C411" s="81"/>
      <c r="D411" s="81"/>
      <c r="E411" s="59">
        <v>1</v>
      </c>
      <c r="F411" s="97">
        <f>35000000-5000000</f>
        <v>30000000</v>
      </c>
      <c r="G411" s="83">
        <f>+F411</f>
        <v>30000000</v>
      </c>
      <c r="H411" s="96"/>
      <c r="I411" s="231"/>
      <c r="J411" s="81"/>
      <c r="K411" s="81"/>
      <c r="L411" s="81"/>
      <c r="M411" s="81"/>
      <c r="N411" s="81"/>
      <c r="O411" s="81"/>
      <c r="P411" s="81"/>
      <c r="Q411" s="20"/>
      <c r="R411" s="20">
        <f t="shared" si="65"/>
        <v>0</v>
      </c>
      <c r="S411" s="81"/>
      <c r="T411" s="52">
        <f>+E411+P411</f>
        <v>1</v>
      </c>
      <c r="U411" s="236">
        <f>+T411*F411</f>
        <v>30000000</v>
      </c>
      <c r="V411" s="114">
        <f t="shared" si="64"/>
        <v>0</v>
      </c>
      <c r="W411" s="122"/>
    </row>
    <row r="412" spans="1:23" s="89" customFormat="1" ht="16.5" customHeight="1" x14ac:dyDescent="0.3">
      <c r="A412" s="136" t="s">
        <v>131</v>
      </c>
      <c r="B412" s="81"/>
      <c r="C412" s="81"/>
      <c r="D412" s="81"/>
      <c r="E412" s="59"/>
      <c r="F412" s="97"/>
      <c r="G412" s="99">
        <f>SUM(G410:G411)</f>
        <v>40000000</v>
      </c>
      <c r="H412" s="96"/>
      <c r="I412" s="231"/>
      <c r="J412" s="81"/>
      <c r="K412" s="81"/>
      <c r="L412" s="81"/>
      <c r="M412" s="81"/>
      <c r="N412" s="81"/>
      <c r="O412" s="81"/>
      <c r="P412" s="81"/>
      <c r="Q412" s="20"/>
      <c r="R412" s="100">
        <f>SUM(R410:R411)</f>
        <v>0</v>
      </c>
      <c r="S412" s="81"/>
      <c r="T412" s="81"/>
      <c r="U412" s="241">
        <f>+G412+R411</f>
        <v>40000000</v>
      </c>
      <c r="V412" s="114">
        <f t="shared" si="64"/>
        <v>0</v>
      </c>
      <c r="W412" s="122"/>
    </row>
    <row r="413" spans="1:23" s="89" customFormat="1" ht="16.5" customHeight="1" x14ac:dyDescent="0.3">
      <c r="A413" s="136" t="s">
        <v>132</v>
      </c>
      <c r="B413" s="81"/>
      <c r="C413" s="81"/>
      <c r="D413" s="81"/>
      <c r="E413" s="59"/>
      <c r="F413" s="98"/>
      <c r="G413" s="99">
        <f>+G412+G408+G406</f>
        <v>271000000</v>
      </c>
      <c r="H413" s="96"/>
      <c r="I413" s="231"/>
      <c r="J413" s="81"/>
      <c r="K413" s="81"/>
      <c r="L413" s="81"/>
      <c r="M413" s="81"/>
      <c r="N413" s="81"/>
      <c r="O413" s="81"/>
      <c r="P413" s="81"/>
      <c r="Q413" s="20"/>
      <c r="R413" s="100">
        <f>+R412+R408+R406</f>
        <v>0</v>
      </c>
      <c r="S413" s="81"/>
      <c r="T413" s="81"/>
      <c r="U413" s="241">
        <f>+G413+R412</f>
        <v>271000000</v>
      </c>
      <c r="V413" s="114">
        <f t="shared" si="64"/>
        <v>0</v>
      </c>
      <c r="W413" s="122"/>
    </row>
    <row r="414" spans="1:23" s="87" customFormat="1" ht="16.5" customHeight="1" x14ac:dyDescent="0.3">
      <c r="A414" s="252" t="s">
        <v>133</v>
      </c>
      <c r="B414" s="81"/>
      <c r="C414" s="81"/>
      <c r="D414" s="81"/>
      <c r="E414" s="59"/>
      <c r="F414" s="81"/>
      <c r="G414" s="83"/>
      <c r="H414" s="141"/>
      <c r="I414" s="242"/>
      <c r="J414" s="142"/>
      <c r="K414" s="142"/>
      <c r="L414" s="142"/>
      <c r="M414" s="142"/>
      <c r="N414" s="142"/>
      <c r="O414" s="142"/>
      <c r="P414" s="142"/>
      <c r="Q414" s="100"/>
      <c r="R414" s="20"/>
      <c r="S414" s="142"/>
      <c r="T414" s="44"/>
      <c r="U414" s="236"/>
      <c r="V414" s="114">
        <f t="shared" si="64"/>
        <v>0</v>
      </c>
      <c r="W414" s="86"/>
    </row>
    <row r="415" spans="1:23" s="89" customFormat="1" ht="16.5" customHeight="1" x14ac:dyDescent="0.3">
      <c r="A415" s="121" t="s">
        <v>156</v>
      </c>
      <c r="B415" s="142"/>
      <c r="C415" s="142"/>
      <c r="D415" s="142"/>
      <c r="E415" s="140">
        <v>1</v>
      </c>
      <c r="F415" s="97">
        <f>22000000-3000000</f>
        <v>19000000</v>
      </c>
      <c r="G415" s="83">
        <f>F415</f>
        <v>19000000</v>
      </c>
      <c r="H415" s="96"/>
      <c r="I415" s="231"/>
      <c r="J415" s="81"/>
      <c r="K415" s="81"/>
      <c r="L415" s="81"/>
      <c r="M415" s="81"/>
      <c r="N415" s="81"/>
      <c r="O415" s="81"/>
      <c r="P415" s="81"/>
      <c r="Q415" s="20"/>
      <c r="R415" s="20">
        <f>SUM(R407:R414)</f>
        <v>0</v>
      </c>
      <c r="S415" s="81"/>
      <c r="T415" s="52">
        <f>+E415+P415</f>
        <v>1</v>
      </c>
      <c r="U415" s="236">
        <f>+T415*F415</f>
        <v>19000000</v>
      </c>
      <c r="V415" s="114">
        <f t="shared" si="64"/>
        <v>0</v>
      </c>
      <c r="W415" s="122"/>
    </row>
    <row r="416" spans="1:23" s="89" customFormat="1" ht="16.5" customHeight="1" x14ac:dyDescent="0.3">
      <c r="A416" s="90" t="s">
        <v>157</v>
      </c>
      <c r="B416" s="81"/>
      <c r="C416" s="81"/>
      <c r="D416" s="81"/>
      <c r="E416" s="59">
        <v>1</v>
      </c>
      <c r="F416" s="97">
        <f>53000000-8000000</f>
        <v>45000000</v>
      </c>
      <c r="G416" s="83">
        <f>F416</f>
        <v>45000000</v>
      </c>
      <c r="H416" s="96"/>
      <c r="I416" s="231"/>
      <c r="J416" s="81"/>
      <c r="K416" s="81"/>
      <c r="L416" s="81"/>
      <c r="M416" s="81"/>
      <c r="N416" s="81"/>
      <c r="O416" s="81"/>
      <c r="P416" s="81"/>
      <c r="Q416" s="20"/>
      <c r="R416" s="20">
        <f>SUM(R408:R415)</f>
        <v>0</v>
      </c>
      <c r="S416" s="81"/>
      <c r="T416" s="52">
        <f>+E416+P416</f>
        <v>1</v>
      </c>
      <c r="U416" s="236">
        <f>+T416*F416</f>
        <v>45000000</v>
      </c>
      <c r="V416" s="114">
        <f t="shared" si="64"/>
        <v>0</v>
      </c>
      <c r="W416" s="122"/>
    </row>
    <row r="417" spans="1:23" s="89" customFormat="1" ht="16.5" customHeight="1" x14ac:dyDescent="0.3">
      <c r="A417" s="90" t="s">
        <v>158</v>
      </c>
      <c r="B417" s="81"/>
      <c r="C417" s="81"/>
      <c r="D417" s="81"/>
      <c r="E417" s="59">
        <v>1</v>
      </c>
      <c r="F417" s="97">
        <f>195000000-24000000</f>
        <v>171000000</v>
      </c>
      <c r="G417" s="83">
        <f>F417</f>
        <v>171000000</v>
      </c>
      <c r="H417" s="96"/>
      <c r="I417" s="231"/>
      <c r="J417" s="81"/>
      <c r="K417" s="81"/>
      <c r="L417" s="81"/>
      <c r="M417" s="81"/>
      <c r="N417" s="81"/>
      <c r="O417" s="81"/>
      <c r="P417" s="81"/>
      <c r="Q417" s="20"/>
      <c r="R417" s="20">
        <f>SUM(R409:R416)</f>
        <v>0</v>
      </c>
      <c r="S417" s="81"/>
      <c r="T417" s="52">
        <f>+E417+P417</f>
        <v>1</v>
      </c>
      <c r="U417" s="236">
        <f>+T417*F417</f>
        <v>171000000</v>
      </c>
      <c r="V417" s="114">
        <f t="shared" si="64"/>
        <v>0</v>
      </c>
      <c r="W417" s="122"/>
    </row>
    <row r="418" spans="1:23" s="89" customFormat="1" ht="16.5" customHeight="1" x14ac:dyDescent="0.3">
      <c r="A418" s="90" t="s">
        <v>134</v>
      </c>
      <c r="B418" s="81"/>
      <c r="C418" s="81"/>
      <c r="D418" s="81"/>
      <c r="E418" s="59">
        <v>1</v>
      </c>
      <c r="F418" s="97">
        <v>1500000</v>
      </c>
      <c r="G418" s="83">
        <f>F418</f>
        <v>1500000</v>
      </c>
      <c r="H418" s="96"/>
      <c r="I418" s="231"/>
      <c r="J418" s="81"/>
      <c r="K418" s="81"/>
      <c r="L418" s="81"/>
      <c r="M418" s="81"/>
      <c r="N418" s="81"/>
      <c r="O418" s="81"/>
      <c r="P418" s="81"/>
      <c r="Q418" s="20"/>
      <c r="R418" s="20">
        <f>SUM(R410:R417)</f>
        <v>0</v>
      </c>
      <c r="S418" s="81"/>
      <c r="T418" s="52">
        <f>+E418+P418</f>
        <v>1</v>
      </c>
      <c r="U418" s="236">
        <f>+T418*F418</f>
        <v>1500000</v>
      </c>
      <c r="V418" s="114">
        <f t="shared" si="64"/>
        <v>0</v>
      </c>
      <c r="W418" s="122"/>
    </row>
    <row r="419" spans="1:23" ht="16.5" customHeight="1" x14ac:dyDescent="0.3">
      <c r="A419" s="53" t="s">
        <v>135</v>
      </c>
      <c r="B419" s="107"/>
      <c r="C419" s="107"/>
      <c r="D419" s="107"/>
      <c r="E419" s="108"/>
      <c r="F419" s="117"/>
      <c r="G419" s="99">
        <f>SUM(G415:G418)</f>
        <v>236500000</v>
      </c>
      <c r="H419" s="120"/>
      <c r="I419" s="116"/>
      <c r="J419" s="107"/>
      <c r="K419" s="107"/>
      <c r="L419" s="107"/>
      <c r="M419" s="107"/>
      <c r="N419" s="107"/>
      <c r="O419" s="107"/>
      <c r="P419" s="107"/>
      <c r="Q419" s="70"/>
      <c r="R419" s="100">
        <f>SUM(R415:R418)</f>
        <v>0</v>
      </c>
      <c r="S419" s="107"/>
      <c r="T419" s="107"/>
      <c r="U419" s="236">
        <f>SUM(U415:U418)</f>
        <v>236500000</v>
      </c>
      <c r="V419" s="114">
        <f t="shared" si="64"/>
        <v>0</v>
      </c>
    </row>
    <row r="420" spans="1:23" ht="16.5" customHeight="1" x14ac:dyDescent="0.3">
      <c r="A420" s="53" t="s">
        <v>136</v>
      </c>
      <c r="B420" s="107"/>
      <c r="C420" s="107"/>
      <c r="D420" s="107"/>
      <c r="E420" s="108"/>
      <c r="F420" s="109"/>
      <c r="G420" s="110"/>
      <c r="H420" s="120"/>
      <c r="I420" s="116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44"/>
      <c r="U420" s="236"/>
      <c r="V420" s="114">
        <f t="shared" si="64"/>
        <v>0</v>
      </c>
    </row>
    <row r="421" spans="1:23" ht="24" customHeight="1" x14ac:dyDescent="0.3">
      <c r="A421" s="45" t="s">
        <v>212</v>
      </c>
      <c r="B421" s="107"/>
      <c r="C421" s="107"/>
      <c r="D421" s="107"/>
      <c r="E421" s="108"/>
      <c r="F421" s="109"/>
      <c r="G421" s="110"/>
      <c r="H421" s="120"/>
      <c r="I421" s="116">
        <v>1</v>
      </c>
      <c r="J421" s="107"/>
      <c r="K421" s="107"/>
      <c r="L421" s="107"/>
      <c r="M421" s="107"/>
      <c r="N421" s="107"/>
      <c r="O421" s="107"/>
      <c r="P421" s="41">
        <f>SUBTOTAL(9,I421:O421)</f>
        <v>1</v>
      </c>
      <c r="Q421" s="70">
        <v>13067925</v>
      </c>
      <c r="R421" s="70">
        <f>+Q421</f>
        <v>13067925</v>
      </c>
      <c r="S421" s="107">
        <v>0</v>
      </c>
      <c r="T421" s="52">
        <f>+E421+P421</f>
        <v>1</v>
      </c>
      <c r="U421" s="236">
        <f>+G421+Q421</f>
        <v>13067925</v>
      </c>
      <c r="V421" s="114">
        <f t="shared" si="64"/>
        <v>0</v>
      </c>
    </row>
    <row r="422" spans="1:23" ht="16.5" customHeight="1" x14ac:dyDescent="0.3">
      <c r="A422" s="53" t="s">
        <v>137</v>
      </c>
      <c r="B422" s="107"/>
      <c r="C422" s="107"/>
      <c r="D422" s="107"/>
      <c r="E422" s="108"/>
      <c r="F422" s="117"/>
      <c r="G422" s="110"/>
      <c r="H422" s="120"/>
      <c r="I422" s="116"/>
      <c r="J422" s="107"/>
      <c r="K422" s="107"/>
      <c r="L422" s="107"/>
      <c r="M422" s="107"/>
      <c r="N422" s="107"/>
      <c r="O422" s="107"/>
      <c r="P422" s="107"/>
      <c r="Q422" s="70"/>
      <c r="R422" s="98">
        <f>SUM(R421:R421)</f>
        <v>13067925</v>
      </c>
      <c r="S422" s="107"/>
      <c r="T422" s="107"/>
      <c r="U422" s="241">
        <f>SUM(U421:U421)</f>
        <v>13067925</v>
      </c>
      <c r="V422" s="114">
        <f t="shared" si="64"/>
        <v>0</v>
      </c>
    </row>
    <row r="423" spans="1:23" ht="16.5" customHeight="1" x14ac:dyDescent="0.3">
      <c r="A423" s="119" t="s">
        <v>138</v>
      </c>
      <c r="B423" s="107"/>
      <c r="C423" s="107"/>
      <c r="D423" s="107"/>
      <c r="E423" s="108"/>
      <c r="F423" s="109"/>
      <c r="G423" s="110"/>
      <c r="H423" s="120"/>
      <c r="I423" s="116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44"/>
      <c r="U423" s="236"/>
      <c r="V423" s="114">
        <f t="shared" si="64"/>
        <v>0</v>
      </c>
    </row>
    <row r="424" spans="1:23" ht="19.5" customHeight="1" x14ac:dyDescent="0.3">
      <c r="A424" s="143" t="s">
        <v>247</v>
      </c>
      <c r="B424" s="107"/>
      <c r="C424" s="107"/>
      <c r="D424" s="107"/>
      <c r="E424" s="108"/>
      <c r="F424" s="109"/>
      <c r="G424" s="110"/>
      <c r="H424" s="120"/>
      <c r="I424" s="116"/>
      <c r="J424" s="107"/>
      <c r="K424" s="107">
        <v>1</v>
      </c>
      <c r="L424" s="107"/>
      <c r="M424" s="107"/>
      <c r="N424" s="107"/>
      <c r="O424" s="107"/>
      <c r="P424" s="41">
        <f t="shared" ref="P424:P436" si="66">SUBTOTAL(9,I424:O424)</f>
        <v>1</v>
      </c>
      <c r="Q424" s="70">
        <f>8000000-7050701</f>
        <v>949299</v>
      </c>
      <c r="R424" s="70">
        <f t="shared" ref="R424:R436" si="67">+Q424*P424</f>
        <v>949299</v>
      </c>
      <c r="S424" s="107">
        <v>0</v>
      </c>
      <c r="T424" s="52">
        <f t="shared" ref="T424:T436" si="68">+E424+P424</f>
        <v>1</v>
      </c>
      <c r="U424" s="236">
        <f t="shared" ref="U424:U436" si="69">+R424+G424</f>
        <v>949299</v>
      </c>
      <c r="V424" s="114">
        <f t="shared" si="64"/>
        <v>0</v>
      </c>
    </row>
    <row r="425" spans="1:23" ht="18" customHeight="1" x14ac:dyDescent="0.3">
      <c r="A425" s="143" t="s">
        <v>239</v>
      </c>
      <c r="B425" s="107"/>
      <c r="C425" s="107"/>
      <c r="D425" s="107"/>
      <c r="E425" s="108"/>
      <c r="F425" s="109"/>
      <c r="G425" s="110"/>
      <c r="H425" s="120"/>
      <c r="I425" s="116"/>
      <c r="J425" s="107"/>
      <c r="K425" s="107">
        <v>1</v>
      </c>
      <c r="L425" s="107"/>
      <c r="M425" s="107"/>
      <c r="N425" s="107"/>
      <c r="O425" s="107"/>
      <c r="P425" s="41">
        <f t="shared" si="66"/>
        <v>1</v>
      </c>
      <c r="Q425" s="70">
        <v>5000000</v>
      </c>
      <c r="R425" s="70">
        <f t="shared" si="67"/>
        <v>5000000</v>
      </c>
      <c r="S425" s="107">
        <v>0</v>
      </c>
      <c r="T425" s="52">
        <f t="shared" si="68"/>
        <v>1</v>
      </c>
      <c r="U425" s="236">
        <f t="shared" si="69"/>
        <v>5000000</v>
      </c>
      <c r="V425" s="114">
        <f t="shared" si="64"/>
        <v>0</v>
      </c>
    </row>
    <row r="426" spans="1:23" ht="44.25" customHeight="1" x14ac:dyDescent="0.3">
      <c r="A426" s="144" t="s">
        <v>240</v>
      </c>
      <c r="B426" s="107"/>
      <c r="C426" s="107"/>
      <c r="D426" s="107"/>
      <c r="E426" s="108"/>
      <c r="F426" s="109"/>
      <c r="G426" s="110"/>
      <c r="H426" s="120"/>
      <c r="I426" s="116"/>
      <c r="J426" s="107"/>
      <c r="K426" s="107">
        <v>1</v>
      </c>
      <c r="L426" s="107"/>
      <c r="M426" s="107"/>
      <c r="N426" s="107"/>
      <c r="O426" s="107"/>
      <c r="P426" s="41">
        <f t="shared" si="66"/>
        <v>1</v>
      </c>
      <c r="Q426" s="70">
        <v>69000000</v>
      </c>
      <c r="R426" s="70">
        <f t="shared" si="67"/>
        <v>69000000</v>
      </c>
      <c r="S426" s="107">
        <v>0</v>
      </c>
      <c r="T426" s="52">
        <f t="shared" si="68"/>
        <v>1</v>
      </c>
      <c r="U426" s="236">
        <f t="shared" si="69"/>
        <v>69000000</v>
      </c>
      <c r="V426" s="114">
        <f t="shared" si="64"/>
        <v>0</v>
      </c>
    </row>
    <row r="427" spans="1:23" ht="18.75" customHeight="1" x14ac:dyDescent="0.3">
      <c r="A427" s="132" t="s">
        <v>241</v>
      </c>
      <c r="B427" s="107"/>
      <c r="C427" s="107"/>
      <c r="D427" s="107"/>
      <c r="E427" s="108"/>
      <c r="F427" s="109"/>
      <c r="G427" s="110"/>
      <c r="H427" s="120"/>
      <c r="I427" s="116"/>
      <c r="J427" s="107"/>
      <c r="K427" s="107">
        <v>1</v>
      </c>
      <c r="L427" s="107"/>
      <c r="M427" s="107"/>
      <c r="N427" s="107"/>
      <c r="O427" s="107"/>
      <c r="P427" s="41">
        <f t="shared" si="66"/>
        <v>1</v>
      </c>
      <c r="Q427" s="70">
        <f>75900000+35000000</f>
        <v>110900000</v>
      </c>
      <c r="R427" s="70">
        <f t="shared" si="67"/>
        <v>110900000</v>
      </c>
      <c r="S427" s="107">
        <v>0</v>
      </c>
      <c r="T427" s="52">
        <f t="shared" si="68"/>
        <v>1</v>
      </c>
      <c r="U427" s="236">
        <f t="shared" si="69"/>
        <v>110900000</v>
      </c>
      <c r="V427" s="114">
        <f t="shared" si="64"/>
        <v>0</v>
      </c>
    </row>
    <row r="428" spans="1:23" ht="24" x14ac:dyDescent="0.3">
      <c r="A428" s="144" t="s">
        <v>504</v>
      </c>
      <c r="B428" s="107"/>
      <c r="C428" s="107"/>
      <c r="D428" s="107"/>
      <c r="E428" s="108"/>
      <c r="F428" s="109"/>
      <c r="G428" s="110"/>
      <c r="H428" s="120"/>
      <c r="I428" s="116"/>
      <c r="J428" s="107"/>
      <c r="K428" s="107">
        <v>1</v>
      </c>
      <c r="L428" s="107"/>
      <c r="M428" s="107"/>
      <c r="N428" s="107"/>
      <c r="O428" s="107"/>
      <c r="P428" s="41">
        <f t="shared" si="66"/>
        <v>1</v>
      </c>
      <c r="Q428" s="70">
        <v>67984000</v>
      </c>
      <c r="R428" s="70">
        <f t="shared" si="67"/>
        <v>67984000</v>
      </c>
      <c r="S428" s="107">
        <v>0</v>
      </c>
      <c r="T428" s="52">
        <f t="shared" si="68"/>
        <v>1</v>
      </c>
      <c r="U428" s="236">
        <f t="shared" si="69"/>
        <v>67984000</v>
      </c>
      <c r="V428" s="114">
        <f t="shared" si="64"/>
        <v>0</v>
      </c>
    </row>
    <row r="429" spans="1:23" ht="16.5" x14ac:dyDescent="0.3">
      <c r="A429" s="144" t="s">
        <v>242</v>
      </c>
      <c r="B429" s="107"/>
      <c r="C429" s="107"/>
      <c r="D429" s="107"/>
      <c r="E429" s="108"/>
      <c r="F429" s="109"/>
      <c r="G429" s="110"/>
      <c r="H429" s="120"/>
      <c r="I429" s="116"/>
      <c r="J429" s="107"/>
      <c r="K429" s="107">
        <v>1</v>
      </c>
      <c r="L429" s="107"/>
      <c r="M429" s="107"/>
      <c r="N429" s="107"/>
      <c r="O429" s="107"/>
      <c r="P429" s="41">
        <f t="shared" si="66"/>
        <v>1</v>
      </c>
      <c r="Q429" s="70">
        <f>35000000+588567+10000000+15000000+19645468+7050701+1</f>
        <v>87284737</v>
      </c>
      <c r="R429" s="70">
        <f t="shared" si="67"/>
        <v>87284737</v>
      </c>
      <c r="S429" s="107">
        <v>0</v>
      </c>
      <c r="T429" s="52">
        <f t="shared" si="68"/>
        <v>1</v>
      </c>
      <c r="U429" s="236">
        <f t="shared" si="69"/>
        <v>87284737</v>
      </c>
      <c r="V429" s="114">
        <f t="shared" si="64"/>
        <v>0</v>
      </c>
    </row>
    <row r="430" spans="1:23" ht="35.25" customHeight="1" x14ac:dyDescent="0.3">
      <c r="A430" s="65" t="s">
        <v>323</v>
      </c>
      <c r="B430" s="107"/>
      <c r="C430" s="107"/>
      <c r="D430" s="107"/>
      <c r="E430" s="108"/>
      <c r="F430" s="109"/>
      <c r="G430" s="110"/>
      <c r="H430" s="120"/>
      <c r="I430" s="116"/>
      <c r="J430" s="107"/>
      <c r="K430" s="107">
        <v>1</v>
      </c>
      <c r="L430" s="107"/>
      <c r="M430" s="107"/>
      <c r="N430" s="107"/>
      <c r="O430" s="107"/>
      <c r="P430" s="41">
        <f t="shared" si="66"/>
        <v>1</v>
      </c>
      <c r="Q430" s="70">
        <v>85000000</v>
      </c>
      <c r="R430" s="70">
        <f t="shared" si="67"/>
        <v>85000000</v>
      </c>
      <c r="S430" s="107">
        <v>0</v>
      </c>
      <c r="T430" s="52">
        <f t="shared" si="68"/>
        <v>1</v>
      </c>
      <c r="U430" s="236">
        <f t="shared" si="69"/>
        <v>85000000</v>
      </c>
      <c r="V430" s="114">
        <f t="shared" si="64"/>
        <v>0</v>
      </c>
    </row>
    <row r="431" spans="1:23" ht="21.75" customHeight="1" x14ac:dyDescent="0.3">
      <c r="A431" s="65" t="s">
        <v>243</v>
      </c>
      <c r="B431" s="107"/>
      <c r="C431" s="107"/>
      <c r="D431" s="107"/>
      <c r="E431" s="108"/>
      <c r="F431" s="109"/>
      <c r="G431" s="110"/>
      <c r="H431" s="120"/>
      <c r="I431" s="116"/>
      <c r="J431" s="107"/>
      <c r="K431" s="107">
        <v>1</v>
      </c>
      <c r="L431" s="107"/>
      <c r="M431" s="107"/>
      <c r="N431" s="107"/>
      <c r="O431" s="107"/>
      <c r="P431" s="41">
        <f t="shared" si="66"/>
        <v>1</v>
      </c>
      <c r="Q431" s="70">
        <f>35000000-1000000-15000000+12741745+727333+1333067</f>
        <v>33802145</v>
      </c>
      <c r="R431" s="70">
        <f t="shared" si="67"/>
        <v>33802145</v>
      </c>
      <c r="S431" s="107">
        <v>0</v>
      </c>
      <c r="T431" s="52">
        <f t="shared" si="68"/>
        <v>1</v>
      </c>
      <c r="U431" s="236">
        <f t="shared" si="69"/>
        <v>33802145</v>
      </c>
      <c r="V431" s="114">
        <f t="shared" si="64"/>
        <v>0</v>
      </c>
    </row>
    <row r="432" spans="1:23" ht="21.75" customHeight="1" x14ac:dyDescent="0.3">
      <c r="A432" s="65" t="s">
        <v>336</v>
      </c>
      <c r="B432" s="107"/>
      <c r="C432" s="107"/>
      <c r="D432" s="107"/>
      <c r="E432" s="108"/>
      <c r="F432" s="109"/>
      <c r="G432" s="110"/>
      <c r="H432" s="120"/>
      <c r="I432" s="116"/>
      <c r="J432" s="107"/>
      <c r="K432" s="107">
        <v>1</v>
      </c>
      <c r="L432" s="107"/>
      <c r="M432" s="107"/>
      <c r="N432" s="107"/>
      <c r="O432" s="107"/>
      <c r="P432" s="41">
        <f t="shared" si="66"/>
        <v>1</v>
      </c>
      <c r="Q432" s="70">
        <f>8000000+5559593+1012787</f>
        <v>14572380</v>
      </c>
      <c r="R432" s="70">
        <f t="shared" si="67"/>
        <v>14572380</v>
      </c>
      <c r="S432" s="107">
        <v>0</v>
      </c>
      <c r="T432" s="52">
        <f t="shared" si="68"/>
        <v>1</v>
      </c>
      <c r="U432" s="236">
        <f t="shared" si="69"/>
        <v>14572380</v>
      </c>
      <c r="V432" s="114">
        <f t="shared" si="64"/>
        <v>0</v>
      </c>
    </row>
    <row r="433" spans="1:22" ht="21.75" customHeight="1" x14ac:dyDescent="0.3">
      <c r="A433" s="65" t="s">
        <v>244</v>
      </c>
      <c r="B433" s="107"/>
      <c r="C433" s="107"/>
      <c r="D433" s="107"/>
      <c r="E433" s="108"/>
      <c r="F433" s="109"/>
      <c r="G433" s="110"/>
      <c r="H433" s="120"/>
      <c r="I433" s="116"/>
      <c r="J433" s="107"/>
      <c r="K433" s="107">
        <v>1</v>
      </c>
      <c r="L433" s="107"/>
      <c r="M433" s="107"/>
      <c r="N433" s="107"/>
      <c r="O433" s="107"/>
      <c r="P433" s="41">
        <f t="shared" si="66"/>
        <v>1</v>
      </c>
      <c r="Q433" s="70">
        <v>8000000</v>
      </c>
      <c r="R433" s="70">
        <f t="shared" si="67"/>
        <v>8000000</v>
      </c>
      <c r="S433" s="107">
        <v>0</v>
      </c>
      <c r="T433" s="52">
        <f t="shared" si="68"/>
        <v>1</v>
      </c>
      <c r="U433" s="236">
        <f t="shared" si="69"/>
        <v>8000000</v>
      </c>
      <c r="V433" s="114">
        <f t="shared" si="64"/>
        <v>0</v>
      </c>
    </row>
    <row r="434" spans="1:22" ht="21.75" customHeight="1" x14ac:dyDescent="0.3">
      <c r="A434" s="65" t="s">
        <v>245</v>
      </c>
      <c r="B434" s="107"/>
      <c r="C434" s="107"/>
      <c r="D434" s="107"/>
      <c r="E434" s="108"/>
      <c r="F434" s="109"/>
      <c r="G434" s="110"/>
      <c r="H434" s="120"/>
      <c r="I434" s="116"/>
      <c r="J434" s="107"/>
      <c r="K434" s="107">
        <v>1</v>
      </c>
      <c r="L434" s="107"/>
      <c r="M434" s="107"/>
      <c r="N434" s="107"/>
      <c r="O434" s="107"/>
      <c r="P434" s="41">
        <f t="shared" si="66"/>
        <v>1</v>
      </c>
      <c r="Q434" s="70">
        <f>6181933+5559593</f>
        <v>11741526</v>
      </c>
      <c r="R434" s="70">
        <f t="shared" si="67"/>
        <v>11741526</v>
      </c>
      <c r="S434" s="107">
        <v>10</v>
      </c>
      <c r="T434" s="52">
        <f t="shared" si="68"/>
        <v>1</v>
      </c>
      <c r="U434" s="236">
        <f t="shared" si="69"/>
        <v>11741526</v>
      </c>
      <c r="V434" s="114">
        <f t="shared" si="64"/>
        <v>0</v>
      </c>
    </row>
    <row r="435" spans="1:22" ht="21.75" customHeight="1" x14ac:dyDescent="0.3">
      <c r="A435" s="65" t="s">
        <v>246</v>
      </c>
      <c r="B435" s="107"/>
      <c r="C435" s="107"/>
      <c r="D435" s="107"/>
      <c r="E435" s="108"/>
      <c r="F435" s="109"/>
      <c r="G435" s="110"/>
      <c r="H435" s="120"/>
      <c r="I435" s="116"/>
      <c r="J435" s="107"/>
      <c r="K435" s="107">
        <v>1</v>
      </c>
      <c r="L435" s="107"/>
      <c r="M435" s="107"/>
      <c r="N435" s="107"/>
      <c r="O435" s="107"/>
      <c r="P435" s="41">
        <f t="shared" si="66"/>
        <v>1</v>
      </c>
      <c r="Q435" s="70">
        <v>6181933</v>
      </c>
      <c r="R435" s="70">
        <f t="shared" si="67"/>
        <v>6181933</v>
      </c>
      <c r="S435" s="107">
        <v>11</v>
      </c>
      <c r="T435" s="52">
        <f t="shared" si="68"/>
        <v>1</v>
      </c>
      <c r="U435" s="236">
        <f t="shared" si="69"/>
        <v>6181933</v>
      </c>
      <c r="V435" s="114">
        <f t="shared" si="64"/>
        <v>0</v>
      </c>
    </row>
    <row r="436" spans="1:22" ht="24" customHeight="1" x14ac:dyDescent="0.3">
      <c r="A436" s="65" t="s">
        <v>285</v>
      </c>
      <c r="B436" s="107"/>
      <c r="C436" s="107"/>
      <c r="D436" s="107"/>
      <c r="E436" s="108"/>
      <c r="F436" s="109"/>
      <c r="G436" s="110"/>
      <c r="H436" s="120"/>
      <c r="I436" s="116"/>
      <c r="J436" s="107"/>
      <c r="K436" s="107">
        <v>1</v>
      </c>
      <c r="L436" s="107"/>
      <c r="M436" s="107"/>
      <c r="N436" s="107"/>
      <c r="O436" s="107"/>
      <c r="P436" s="41">
        <f t="shared" si="66"/>
        <v>1</v>
      </c>
      <c r="Q436" s="70">
        <v>115245650</v>
      </c>
      <c r="R436" s="70">
        <f t="shared" si="67"/>
        <v>115245650</v>
      </c>
      <c r="S436" s="107">
        <v>0</v>
      </c>
      <c r="T436" s="52">
        <f t="shared" si="68"/>
        <v>1</v>
      </c>
      <c r="U436" s="236">
        <f t="shared" si="69"/>
        <v>115245650</v>
      </c>
      <c r="V436" s="114">
        <f t="shared" si="64"/>
        <v>0</v>
      </c>
    </row>
    <row r="437" spans="1:22" ht="16.5" customHeight="1" x14ac:dyDescent="0.3">
      <c r="A437" s="53" t="s">
        <v>139</v>
      </c>
      <c r="B437" s="107"/>
      <c r="C437" s="107"/>
      <c r="D437" s="107"/>
      <c r="E437" s="108"/>
      <c r="F437" s="117"/>
      <c r="G437" s="99">
        <f>SUM(G424:G436)</f>
        <v>0</v>
      </c>
      <c r="H437" s="120"/>
      <c r="I437" s="116"/>
      <c r="J437" s="107"/>
      <c r="K437" s="107"/>
      <c r="L437" s="107"/>
      <c r="M437" s="107"/>
      <c r="N437" s="107"/>
      <c r="O437" s="107"/>
      <c r="P437" s="107"/>
      <c r="Q437" s="70"/>
      <c r="R437" s="100">
        <f>SUM(R424:R436)</f>
        <v>615661670</v>
      </c>
      <c r="S437" s="107"/>
      <c r="T437" s="107"/>
      <c r="U437" s="241">
        <f>SUM(U424:U436)</f>
        <v>615661670</v>
      </c>
      <c r="V437" s="114">
        <f t="shared" si="64"/>
        <v>0</v>
      </c>
    </row>
    <row r="438" spans="1:22" ht="37.5" customHeight="1" x14ac:dyDescent="0.3">
      <c r="A438" s="119" t="s">
        <v>140</v>
      </c>
      <c r="B438" s="107"/>
      <c r="C438" s="107"/>
      <c r="D438" s="107"/>
      <c r="E438" s="108"/>
      <c r="F438" s="107"/>
      <c r="G438" s="110"/>
      <c r="H438" s="120"/>
      <c r="I438" s="116"/>
      <c r="J438" s="107"/>
      <c r="K438" s="107"/>
      <c r="L438" s="107"/>
      <c r="M438" s="107"/>
      <c r="N438" s="107"/>
      <c r="O438" s="107"/>
      <c r="P438" s="107"/>
      <c r="Q438" s="70"/>
      <c r="R438" s="70"/>
      <c r="S438" s="107"/>
      <c r="T438" s="107"/>
      <c r="U438" s="236"/>
      <c r="V438" s="114">
        <f t="shared" si="64"/>
        <v>0</v>
      </c>
    </row>
    <row r="439" spans="1:22" ht="16.5" customHeight="1" x14ac:dyDescent="0.3">
      <c r="A439" s="45" t="s">
        <v>141</v>
      </c>
      <c r="B439" s="107"/>
      <c r="C439" s="107"/>
      <c r="D439" s="107"/>
      <c r="E439" s="108">
        <v>1</v>
      </c>
      <c r="F439" s="109">
        <f>54000000+26884151+31785789+15000000</f>
        <v>127669940</v>
      </c>
      <c r="G439" s="110">
        <f>+F439</f>
        <v>127669940</v>
      </c>
      <c r="H439" s="120"/>
      <c r="I439" s="116"/>
      <c r="J439" s="107"/>
      <c r="K439" s="107"/>
      <c r="L439" s="107"/>
      <c r="M439" s="107"/>
      <c r="N439" s="107"/>
      <c r="O439" s="107"/>
      <c r="P439" s="107"/>
      <c r="Q439" s="70"/>
      <c r="R439" s="70"/>
      <c r="S439" s="107"/>
      <c r="T439" s="52">
        <f>+E439+P439</f>
        <v>1</v>
      </c>
      <c r="U439" s="236">
        <f>+T439*F439</f>
        <v>127669940</v>
      </c>
      <c r="V439" s="114">
        <f t="shared" si="64"/>
        <v>0</v>
      </c>
    </row>
    <row r="440" spans="1:22" ht="16.5" customHeight="1" x14ac:dyDescent="0.3">
      <c r="A440" s="106" t="s">
        <v>159</v>
      </c>
      <c r="B440" s="107"/>
      <c r="C440" s="107"/>
      <c r="D440" s="107"/>
      <c r="E440" s="108">
        <v>1</v>
      </c>
      <c r="F440" s="109">
        <f>14000000+2000000+2000000+2000000</f>
        <v>20000000</v>
      </c>
      <c r="G440" s="110">
        <f>+F440</f>
        <v>20000000</v>
      </c>
      <c r="H440" s="120"/>
      <c r="I440" s="116"/>
      <c r="J440" s="107"/>
      <c r="K440" s="107"/>
      <c r="L440" s="107"/>
      <c r="M440" s="107"/>
      <c r="N440" s="107"/>
      <c r="O440" s="107"/>
      <c r="P440" s="107"/>
      <c r="Q440" s="70"/>
      <c r="R440" s="70"/>
      <c r="S440" s="107"/>
      <c r="T440" s="52">
        <f>+E440+P440</f>
        <v>1</v>
      </c>
      <c r="U440" s="236">
        <f>+T440*F440</f>
        <v>20000000</v>
      </c>
      <c r="V440" s="114">
        <f t="shared" si="64"/>
        <v>0</v>
      </c>
    </row>
    <row r="441" spans="1:22" ht="16.5" customHeight="1" x14ac:dyDescent="0.3">
      <c r="A441" s="45" t="s">
        <v>142</v>
      </c>
      <c r="B441" s="107"/>
      <c r="C441" s="107"/>
      <c r="D441" s="107"/>
      <c r="E441" s="108">
        <v>1</v>
      </c>
      <c r="F441" s="109">
        <f>5000000+10000000</f>
        <v>15000000</v>
      </c>
      <c r="G441" s="110">
        <f>+F441</f>
        <v>15000000</v>
      </c>
      <c r="H441" s="120"/>
      <c r="I441" s="116"/>
      <c r="J441" s="107"/>
      <c r="K441" s="107"/>
      <c r="L441" s="107"/>
      <c r="M441" s="107"/>
      <c r="N441" s="107"/>
      <c r="O441" s="107"/>
      <c r="P441" s="107"/>
      <c r="Q441" s="70"/>
      <c r="R441" s="70">
        <f>SUM(R438:R440)</f>
        <v>0</v>
      </c>
      <c r="S441" s="107"/>
      <c r="T441" s="52">
        <f>+E441+P441</f>
        <v>1</v>
      </c>
      <c r="U441" s="236">
        <f>+T441*F441</f>
        <v>15000000</v>
      </c>
      <c r="V441" s="114">
        <f t="shared" si="64"/>
        <v>0</v>
      </c>
    </row>
    <row r="442" spans="1:22" ht="16.5" customHeight="1" x14ac:dyDescent="0.3">
      <c r="A442" s="53" t="s">
        <v>143</v>
      </c>
      <c r="B442" s="107"/>
      <c r="C442" s="107"/>
      <c r="D442" s="107"/>
      <c r="E442" s="108"/>
      <c r="F442" s="117"/>
      <c r="G442" s="99">
        <f>SUM(G439:G441)</f>
        <v>162669940</v>
      </c>
      <c r="H442" s="120"/>
      <c r="I442" s="116"/>
      <c r="J442" s="107"/>
      <c r="K442" s="107"/>
      <c r="L442" s="107"/>
      <c r="M442" s="107"/>
      <c r="N442" s="107"/>
      <c r="O442" s="107"/>
      <c r="P442" s="107"/>
      <c r="Q442" s="70"/>
      <c r="R442" s="100">
        <f>SUM(R439:R441)</f>
        <v>0</v>
      </c>
      <c r="S442" s="107"/>
      <c r="T442" s="44"/>
      <c r="U442" s="241">
        <f>SUM(U439:U441)</f>
        <v>162669940</v>
      </c>
      <c r="V442" s="114">
        <f t="shared" si="64"/>
        <v>0</v>
      </c>
    </row>
    <row r="443" spans="1:22" ht="35.25" customHeight="1" x14ac:dyDescent="0.3">
      <c r="A443" s="53" t="s">
        <v>144</v>
      </c>
      <c r="B443" s="107"/>
      <c r="C443" s="107"/>
      <c r="D443" s="107"/>
      <c r="E443" s="108"/>
      <c r="F443" s="109"/>
      <c r="G443" s="110"/>
      <c r="H443" s="120"/>
      <c r="I443" s="116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44"/>
      <c r="U443" s="236"/>
      <c r="V443" s="114">
        <f t="shared" si="64"/>
        <v>0</v>
      </c>
    </row>
    <row r="444" spans="1:22" ht="18.75" customHeight="1" x14ac:dyDescent="0.3">
      <c r="A444" s="45" t="s">
        <v>284</v>
      </c>
      <c r="B444" s="107"/>
      <c r="C444" s="107"/>
      <c r="D444" s="107"/>
      <c r="E444" s="108"/>
      <c r="F444" s="109"/>
      <c r="G444" s="110"/>
      <c r="H444" s="120"/>
      <c r="I444" s="116"/>
      <c r="J444" s="107"/>
      <c r="K444" s="107">
        <v>1</v>
      </c>
      <c r="L444" s="107"/>
      <c r="M444" s="107"/>
      <c r="N444" s="107"/>
      <c r="O444" s="107"/>
      <c r="P444" s="41">
        <f>SUBTOTAL(9,I444:O444)</f>
        <v>1</v>
      </c>
      <c r="Q444" s="70">
        <v>59986960</v>
      </c>
      <c r="R444" s="70">
        <f>+Q444*P444</f>
        <v>59986960</v>
      </c>
      <c r="S444" s="107">
        <v>0</v>
      </c>
      <c r="T444" s="52">
        <f>+E444+P444</f>
        <v>1</v>
      </c>
      <c r="U444" s="236">
        <f>+T444*Q444</f>
        <v>59986960</v>
      </c>
      <c r="V444" s="114">
        <f t="shared" si="64"/>
        <v>0</v>
      </c>
    </row>
    <row r="445" spans="1:22" ht="16.5" customHeight="1" x14ac:dyDescent="0.3">
      <c r="A445" s="45" t="s">
        <v>144</v>
      </c>
      <c r="B445" s="107"/>
      <c r="C445" s="107"/>
      <c r="D445" s="107"/>
      <c r="E445" s="108"/>
      <c r="F445" s="109">
        <f>2985157-2355000+254296699-4584360</f>
        <v>250342496</v>
      </c>
      <c r="G445" s="110">
        <f>F445</f>
        <v>250342496</v>
      </c>
      <c r="H445" s="120"/>
      <c r="I445" s="116"/>
      <c r="J445" s="107"/>
      <c r="K445" s="107"/>
      <c r="L445" s="107"/>
      <c r="M445" s="107"/>
      <c r="N445" s="107"/>
      <c r="O445" s="107"/>
      <c r="P445" s="107"/>
      <c r="Q445" s="70"/>
      <c r="R445" s="107"/>
      <c r="S445" s="107"/>
      <c r="T445" s="81"/>
      <c r="U445" s="236">
        <f>+G445+R445</f>
        <v>250342496</v>
      </c>
      <c r="V445" s="114">
        <f t="shared" si="64"/>
        <v>0</v>
      </c>
    </row>
    <row r="446" spans="1:22" ht="34.5" customHeight="1" x14ac:dyDescent="0.3">
      <c r="A446" s="53" t="s">
        <v>145</v>
      </c>
      <c r="B446" s="107"/>
      <c r="C446" s="107"/>
      <c r="D446" s="107"/>
      <c r="E446" s="108"/>
      <c r="F446" s="117"/>
      <c r="G446" s="99">
        <f>SUM(G444:G445)</f>
        <v>250342496</v>
      </c>
      <c r="H446" s="120"/>
      <c r="I446" s="116"/>
      <c r="J446" s="107"/>
      <c r="K446" s="107"/>
      <c r="L446" s="107"/>
      <c r="M446" s="107"/>
      <c r="N446" s="107"/>
      <c r="O446" s="107"/>
      <c r="P446" s="107"/>
      <c r="Q446" s="70"/>
      <c r="R446" s="100">
        <f>SUM(R444:R445)</f>
        <v>59986960</v>
      </c>
      <c r="S446" s="107"/>
      <c r="T446" s="107"/>
      <c r="U446" s="241">
        <f>SUM(U444:U445)</f>
        <v>310329456</v>
      </c>
      <c r="V446" s="114">
        <f t="shared" si="64"/>
        <v>0</v>
      </c>
    </row>
    <row r="447" spans="1:22" ht="16.5" customHeight="1" x14ac:dyDescent="0.3">
      <c r="A447" s="53" t="s">
        <v>146</v>
      </c>
      <c r="B447" s="107"/>
      <c r="C447" s="107"/>
      <c r="D447" s="107"/>
      <c r="E447" s="108"/>
      <c r="F447" s="109"/>
      <c r="G447" s="118">
        <f>+G446+G442+G437+G422+G419+G413+G403+G399+G393+G390+G387+G342</f>
        <v>1740804486</v>
      </c>
      <c r="H447" s="120"/>
      <c r="I447" s="116"/>
      <c r="J447" s="107"/>
      <c r="K447" s="107"/>
      <c r="L447" s="107"/>
      <c r="M447" s="107"/>
      <c r="N447" s="107"/>
      <c r="O447" s="107"/>
      <c r="P447" s="107"/>
      <c r="Q447" s="70"/>
      <c r="R447" s="254">
        <f>+R446+R442+R437+R422+R419+R413+R403+R399+R393+R390+R387+R342</f>
        <v>2183835332</v>
      </c>
      <c r="S447" s="107"/>
      <c r="T447" s="107"/>
      <c r="U447" s="241">
        <f>+U446+U442+U437+U422+U419+U413+U403+U399+U393+U390+U387+U342</f>
        <v>3924639818</v>
      </c>
      <c r="V447" s="114">
        <f t="shared" si="64"/>
        <v>0</v>
      </c>
    </row>
    <row r="448" spans="1:22" ht="16.5" customHeight="1" x14ac:dyDescent="0.3">
      <c r="A448" s="53" t="s">
        <v>147</v>
      </c>
      <c r="B448" s="107"/>
      <c r="C448" s="107"/>
      <c r="D448" s="107"/>
      <c r="E448" s="108"/>
      <c r="F448" s="109"/>
      <c r="G448" s="118">
        <f>+G447+G339</f>
        <v>2042741636.8736</v>
      </c>
      <c r="H448" s="120"/>
      <c r="I448" s="116"/>
      <c r="J448" s="107"/>
      <c r="K448" s="107"/>
      <c r="L448" s="107"/>
      <c r="M448" s="107"/>
      <c r="N448" s="107"/>
      <c r="O448" s="107"/>
      <c r="P448" s="107"/>
      <c r="Q448" s="70"/>
      <c r="R448" s="254">
        <f>+R447+R339</f>
        <v>4279972793.5595999</v>
      </c>
      <c r="S448" s="107"/>
      <c r="T448" s="107"/>
      <c r="U448" s="241">
        <f>+U447+U339</f>
        <v>6322714430.4331999</v>
      </c>
      <c r="V448" s="114">
        <f t="shared" si="64"/>
        <v>0</v>
      </c>
    </row>
    <row r="449" spans="1:22" ht="16.5" customHeight="1" x14ac:dyDescent="0.3">
      <c r="A449" s="53" t="s">
        <v>148</v>
      </c>
      <c r="B449" s="107"/>
      <c r="C449" s="107"/>
      <c r="D449" s="107"/>
      <c r="E449" s="108"/>
      <c r="F449" s="109"/>
      <c r="G449" s="110"/>
      <c r="H449" s="120"/>
      <c r="I449" s="116"/>
      <c r="J449" s="107"/>
      <c r="K449" s="107"/>
      <c r="L449" s="107"/>
      <c r="M449" s="107"/>
      <c r="N449" s="107"/>
      <c r="O449" s="107"/>
      <c r="P449" s="107"/>
      <c r="Q449" s="70"/>
      <c r="R449" s="70"/>
      <c r="S449" s="107"/>
      <c r="T449" s="44"/>
      <c r="U449" s="236"/>
      <c r="V449" s="114">
        <f t="shared" si="64"/>
        <v>0</v>
      </c>
    </row>
    <row r="450" spans="1:22" ht="16.5" customHeight="1" x14ac:dyDescent="0.3">
      <c r="A450" s="45" t="s">
        <v>149</v>
      </c>
      <c r="B450" s="107"/>
      <c r="C450" s="107"/>
      <c r="D450" s="107"/>
      <c r="E450" s="108">
        <v>1</v>
      </c>
      <c r="F450" s="109">
        <v>10866129</v>
      </c>
      <c r="G450" s="110">
        <f>+F450*E450</f>
        <v>10866129</v>
      </c>
      <c r="H450" s="120"/>
      <c r="I450" s="116"/>
      <c r="J450" s="107"/>
      <c r="K450" s="107"/>
      <c r="L450" s="107"/>
      <c r="M450" s="107"/>
      <c r="N450" s="107"/>
      <c r="O450" s="107"/>
      <c r="P450" s="107"/>
      <c r="Q450" s="70"/>
      <c r="R450" s="70"/>
      <c r="S450" s="107"/>
      <c r="T450" s="52">
        <f>+E450+P450</f>
        <v>1</v>
      </c>
      <c r="U450" s="236">
        <f>+T450*F450</f>
        <v>10866129</v>
      </c>
      <c r="V450" s="114">
        <f t="shared" si="64"/>
        <v>0</v>
      </c>
    </row>
    <row r="451" spans="1:22" ht="16.5" customHeight="1" x14ac:dyDescent="0.3">
      <c r="A451" s="45" t="s">
        <v>150</v>
      </c>
      <c r="B451" s="107"/>
      <c r="C451" s="107"/>
      <c r="D451" s="107"/>
      <c r="E451" s="108">
        <v>1</v>
      </c>
      <c r="F451" s="109">
        <v>35229518</v>
      </c>
      <c r="G451" s="110">
        <f>+F451*E451</f>
        <v>35229518</v>
      </c>
      <c r="H451" s="120"/>
      <c r="I451" s="116"/>
      <c r="J451" s="107"/>
      <c r="K451" s="107"/>
      <c r="L451" s="107"/>
      <c r="M451" s="107"/>
      <c r="N451" s="107"/>
      <c r="O451" s="107"/>
      <c r="P451" s="107"/>
      <c r="Q451" s="70"/>
      <c r="R451" s="70"/>
      <c r="S451" s="107"/>
      <c r="T451" s="52">
        <f>+E451+P451</f>
        <v>1</v>
      </c>
      <c r="U451" s="236">
        <f>+T451*F451</f>
        <v>35229518</v>
      </c>
      <c r="V451" s="114">
        <f t="shared" si="64"/>
        <v>0</v>
      </c>
    </row>
    <row r="452" spans="1:22" ht="16.5" customHeight="1" x14ac:dyDescent="0.3">
      <c r="A452" s="45" t="s">
        <v>151</v>
      </c>
      <c r="B452" s="107"/>
      <c r="C452" s="107"/>
      <c r="D452" s="107"/>
      <c r="E452" s="108">
        <v>1</v>
      </c>
      <c r="F452" s="109">
        <v>22882030</v>
      </c>
      <c r="G452" s="110">
        <f>+F452*E452</f>
        <v>22882030</v>
      </c>
      <c r="H452" s="120"/>
      <c r="I452" s="116"/>
      <c r="J452" s="107"/>
      <c r="K452" s="107"/>
      <c r="L452" s="107"/>
      <c r="M452" s="107"/>
      <c r="N452" s="107"/>
      <c r="O452" s="107"/>
      <c r="P452" s="107"/>
      <c r="Q452" s="70"/>
      <c r="R452" s="70"/>
      <c r="S452" s="107"/>
      <c r="T452" s="52">
        <f>+E452+P452</f>
        <v>1</v>
      </c>
      <c r="U452" s="236">
        <f>+T452*F452</f>
        <v>22882030</v>
      </c>
      <c r="V452" s="114">
        <f t="shared" si="64"/>
        <v>0</v>
      </c>
    </row>
    <row r="453" spans="1:22" ht="16.5" customHeight="1" x14ac:dyDescent="0.3">
      <c r="A453" s="45" t="s">
        <v>152</v>
      </c>
      <c r="B453" s="107"/>
      <c r="C453" s="107"/>
      <c r="D453" s="107"/>
      <c r="E453" s="108">
        <v>1</v>
      </c>
      <c r="F453" s="109">
        <v>10000000</v>
      </c>
      <c r="G453" s="110">
        <f>+F453*E453</f>
        <v>10000000</v>
      </c>
      <c r="H453" s="120"/>
      <c r="I453" s="116"/>
      <c r="J453" s="107"/>
      <c r="K453" s="107"/>
      <c r="L453" s="107"/>
      <c r="M453" s="107"/>
      <c r="N453" s="107"/>
      <c r="O453" s="107"/>
      <c r="P453" s="107"/>
      <c r="Q453" s="70"/>
      <c r="R453" s="70">
        <f>SUM(R449:R452)</f>
        <v>0</v>
      </c>
      <c r="S453" s="107"/>
      <c r="T453" s="52">
        <f>+E453+P453</f>
        <v>1</v>
      </c>
      <c r="U453" s="236">
        <f>+T453*F453</f>
        <v>10000000</v>
      </c>
      <c r="V453" s="114">
        <f t="shared" si="64"/>
        <v>0</v>
      </c>
    </row>
    <row r="454" spans="1:22" ht="17.25" customHeight="1" thickBot="1" x14ac:dyDescent="0.35">
      <c r="A454" s="145" t="s">
        <v>153</v>
      </c>
      <c r="B454" s="146"/>
      <c r="C454" s="146"/>
      <c r="D454" s="146"/>
      <c r="E454" s="147"/>
      <c r="F454" s="148"/>
      <c r="G454" s="149">
        <f>SUM(G450:G453)</f>
        <v>78977677</v>
      </c>
      <c r="H454" s="120"/>
      <c r="I454" s="235"/>
      <c r="J454" s="146"/>
      <c r="K454" s="146"/>
      <c r="L454" s="146"/>
      <c r="M454" s="146"/>
      <c r="N454" s="146"/>
      <c r="O454" s="146"/>
      <c r="P454" s="146"/>
      <c r="Q454" s="234"/>
      <c r="R454" s="234"/>
      <c r="S454" s="238"/>
      <c r="T454" s="146"/>
      <c r="U454" s="149">
        <f>SUM(U450:U453)</f>
        <v>78977677</v>
      </c>
      <c r="V454" s="114">
        <f>+U454-R454-G454</f>
        <v>0</v>
      </c>
    </row>
    <row r="455" spans="1:22" ht="16.5" customHeight="1" x14ac:dyDescent="0.3">
      <c r="A455" s="120"/>
      <c r="B455" s="120"/>
      <c r="C455" s="120"/>
      <c r="D455" s="120"/>
      <c r="E455" s="151"/>
      <c r="F455" s="120"/>
      <c r="G455" s="150"/>
      <c r="H455" s="120"/>
      <c r="I455" s="120"/>
      <c r="J455" s="120"/>
      <c r="K455" s="120"/>
      <c r="L455" s="120"/>
      <c r="M455" s="120"/>
      <c r="N455" s="120"/>
      <c r="O455" s="120"/>
      <c r="P455" s="120"/>
      <c r="Q455" s="150"/>
      <c r="R455" s="150"/>
      <c r="S455" s="152"/>
      <c r="T455" s="153"/>
      <c r="U455" s="120"/>
      <c r="V455" s="23"/>
    </row>
    <row r="456" spans="1:22" ht="16.5" customHeight="1" x14ac:dyDescent="0.3">
      <c r="A456" s="120"/>
      <c r="B456" s="271" t="s">
        <v>304</v>
      </c>
      <c r="C456" s="271"/>
      <c r="D456" s="154"/>
      <c r="E456" s="155"/>
      <c r="F456" s="156"/>
      <c r="G456" s="157"/>
      <c r="H456" s="158"/>
      <c r="I456" s="176"/>
      <c r="J456" s="176"/>
      <c r="K456" s="176"/>
      <c r="L456" s="176"/>
      <c r="M456" s="176"/>
      <c r="N456" s="176"/>
      <c r="O456" s="176"/>
      <c r="P456" s="176"/>
      <c r="Q456" s="159"/>
      <c r="R456" s="160"/>
      <c r="S456" s="159"/>
      <c r="T456" s="176"/>
      <c r="U456" s="159"/>
      <c r="V456" s="23"/>
    </row>
    <row r="457" spans="1:22" ht="19.5" customHeight="1" x14ac:dyDescent="0.3">
      <c r="A457" s="120"/>
      <c r="B457" s="287" t="s">
        <v>1</v>
      </c>
      <c r="C457" s="287"/>
      <c r="D457" s="287"/>
      <c r="E457" s="287"/>
      <c r="F457" s="287"/>
      <c r="G457" s="287"/>
      <c r="H457" s="158"/>
      <c r="I457" s="176"/>
      <c r="J457" s="161"/>
      <c r="K457" s="176"/>
      <c r="L457" s="176"/>
      <c r="M457" s="176"/>
      <c r="N457" s="176"/>
      <c r="O457" s="176"/>
      <c r="P457" s="176"/>
      <c r="Q457" s="162"/>
      <c r="R457" s="160"/>
      <c r="S457" s="160"/>
      <c r="T457" s="176"/>
      <c r="U457" s="159"/>
      <c r="V457" s="23"/>
    </row>
    <row r="458" spans="1:22" ht="42.75" customHeight="1" x14ac:dyDescent="0.3">
      <c r="A458" s="120"/>
      <c r="B458" s="276" t="s">
        <v>305</v>
      </c>
      <c r="C458" s="276"/>
      <c r="D458" s="163" t="s">
        <v>14</v>
      </c>
      <c r="E458" s="164" t="s">
        <v>25</v>
      </c>
      <c r="F458" s="163" t="s">
        <v>306</v>
      </c>
      <c r="G458" s="165" t="s">
        <v>307</v>
      </c>
      <c r="H458" s="158"/>
      <c r="I458" s="277"/>
      <c r="J458" s="277"/>
      <c r="K458" s="277"/>
      <c r="L458" s="176"/>
      <c r="M458" s="176"/>
      <c r="N458" s="176"/>
      <c r="O458" s="176"/>
      <c r="P458" s="176"/>
      <c r="Q458" s="162"/>
      <c r="R458" s="162"/>
      <c r="S458" s="160"/>
      <c r="T458" s="176"/>
      <c r="U458" s="160"/>
      <c r="V458" s="23"/>
    </row>
    <row r="459" spans="1:22" ht="26.25" customHeight="1" x14ac:dyDescent="0.3">
      <c r="A459" s="120"/>
      <c r="B459" s="270" t="s">
        <v>308</v>
      </c>
      <c r="C459" s="270"/>
      <c r="D459" s="166">
        <f>+G37</f>
        <v>7215030631</v>
      </c>
      <c r="E459" s="167">
        <f>+G448</f>
        <v>2042741636.8736</v>
      </c>
      <c r="F459" s="166">
        <f>+G454</f>
        <v>78977677</v>
      </c>
      <c r="G459" s="168">
        <f>ROUND(E459+D459+F459,0)</f>
        <v>9336749945</v>
      </c>
      <c r="H459" s="158"/>
      <c r="I459" s="176"/>
      <c r="J459" s="169"/>
      <c r="K459" s="176"/>
      <c r="L459" s="176"/>
      <c r="M459" s="176"/>
      <c r="N459" s="176"/>
      <c r="O459" s="176"/>
      <c r="P459" s="176"/>
      <c r="Q459" s="160"/>
      <c r="R459" s="160"/>
      <c r="S459" s="160"/>
      <c r="T459" s="176"/>
      <c r="U459" s="160"/>
      <c r="V459" s="23"/>
    </row>
    <row r="460" spans="1:22" ht="16.5" customHeight="1" x14ac:dyDescent="0.3">
      <c r="A460" s="120"/>
      <c r="B460" s="170"/>
      <c r="C460" s="170" t="s">
        <v>379</v>
      </c>
      <c r="D460" s="171">
        <v>7215030631</v>
      </c>
      <c r="E460" s="172">
        <f>2041059264.96+1682372</f>
        <v>2042741636.96</v>
      </c>
      <c r="F460" s="171">
        <v>78977677</v>
      </c>
      <c r="G460" s="173"/>
      <c r="H460" s="174"/>
      <c r="I460" s="176"/>
      <c r="J460" s="169"/>
      <c r="K460" s="176"/>
      <c r="L460" s="176"/>
      <c r="M460" s="176"/>
      <c r="N460" s="176"/>
      <c r="O460" s="176"/>
      <c r="P460" s="176"/>
      <c r="Q460" s="160"/>
      <c r="R460" s="160"/>
      <c r="S460" s="160"/>
      <c r="T460" s="176"/>
      <c r="U460" s="160"/>
      <c r="V460" s="23"/>
    </row>
    <row r="461" spans="1:22" ht="16.5" customHeight="1" x14ac:dyDescent="0.3">
      <c r="A461" s="175"/>
      <c r="B461" s="170"/>
      <c r="C461" s="170"/>
      <c r="D461" s="171">
        <f>+D460-D459</f>
        <v>0</v>
      </c>
      <c r="E461" s="172"/>
      <c r="F461" s="171">
        <f>+F460-F459</f>
        <v>0</v>
      </c>
      <c r="G461" s="173"/>
      <c r="H461" s="174"/>
      <c r="I461" s="176"/>
      <c r="J461" s="169"/>
      <c r="K461" s="176"/>
      <c r="L461" s="176"/>
      <c r="M461" s="176"/>
      <c r="N461" s="176"/>
      <c r="O461" s="176"/>
      <c r="P461" s="176"/>
      <c r="Q461" s="160"/>
      <c r="R461" s="160"/>
      <c r="S461" s="160"/>
      <c r="T461" s="176"/>
      <c r="U461" s="160"/>
      <c r="V461" s="23"/>
    </row>
    <row r="462" spans="1:22" ht="17.25" customHeight="1" thickBot="1" x14ac:dyDescent="0.35">
      <c r="A462" s="120"/>
      <c r="B462" s="170"/>
      <c r="C462" s="170"/>
      <c r="D462" s="171"/>
      <c r="E462" s="219"/>
      <c r="F462" s="171"/>
      <c r="G462" s="173"/>
      <c r="H462" s="158"/>
      <c r="I462" s="176"/>
      <c r="J462" s="169"/>
      <c r="K462" s="176"/>
      <c r="L462" s="176"/>
      <c r="M462" s="176"/>
      <c r="N462" s="176"/>
      <c r="O462" s="176"/>
      <c r="P462" s="176"/>
      <c r="Q462" s="160"/>
      <c r="R462" s="160"/>
      <c r="S462" s="160"/>
      <c r="T462" s="176"/>
      <c r="U462" s="160"/>
      <c r="V462" s="23"/>
    </row>
    <row r="463" spans="1:22" ht="30" customHeight="1" x14ac:dyDescent="0.3">
      <c r="A463" s="120"/>
      <c r="B463" s="271" t="s">
        <v>309</v>
      </c>
      <c r="C463" s="271"/>
      <c r="D463" s="271"/>
      <c r="E463" s="271"/>
      <c r="F463" s="271"/>
      <c r="G463" s="271"/>
      <c r="H463" s="158"/>
      <c r="I463" s="272"/>
      <c r="J463" s="272"/>
      <c r="K463" s="272"/>
      <c r="L463" s="272"/>
      <c r="M463" s="176"/>
      <c r="N463" s="176"/>
      <c r="O463" s="176"/>
      <c r="P463" s="176"/>
      <c r="Q463" s="162"/>
      <c r="R463" s="273" t="s">
        <v>311</v>
      </c>
      <c r="S463" s="274"/>
      <c r="T463" s="176"/>
      <c r="U463" s="177">
        <f>SUM(D459+E472)</f>
        <v>12515057835</v>
      </c>
      <c r="V463" s="23"/>
    </row>
    <row r="464" spans="1:22" ht="30.75" customHeight="1" x14ac:dyDescent="0.3">
      <c r="A464" s="120"/>
      <c r="B464" s="270" t="s">
        <v>310</v>
      </c>
      <c r="C464" s="270"/>
      <c r="D464" s="270"/>
      <c r="E464" s="178" t="s">
        <v>14</v>
      </c>
      <c r="F464" s="179" t="s">
        <v>25</v>
      </c>
      <c r="G464" s="180" t="s">
        <v>307</v>
      </c>
      <c r="H464" s="158"/>
      <c r="I464" s="275"/>
      <c r="J464" s="275"/>
      <c r="K464" s="275"/>
      <c r="L464" s="176"/>
      <c r="M464" s="176"/>
      <c r="N464" s="176"/>
      <c r="O464" s="176"/>
      <c r="P464" s="176"/>
      <c r="Q464" s="181"/>
      <c r="R464" s="266" t="s">
        <v>313</v>
      </c>
      <c r="S464" s="267"/>
      <c r="T464" s="176"/>
      <c r="U464" s="182">
        <f>SUM(E459+F472)</f>
        <v>6322714433.4331989</v>
      </c>
      <c r="V464" s="23"/>
    </row>
    <row r="465" spans="1:22" ht="24" customHeight="1" x14ac:dyDescent="0.3">
      <c r="A465" s="120"/>
      <c r="B465" s="263" t="s">
        <v>312</v>
      </c>
      <c r="C465" s="263"/>
      <c r="D465" s="263"/>
      <c r="E465" s="183">
        <f>SUMPRODUCT($Q$4:$Q$30,$I$4:$I$30)</f>
        <v>876675858</v>
      </c>
      <c r="F465" s="184">
        <f>SUMPRODUCT($Q$38:$Q$421,$I$38:$I$421)+3</f>
        <v>223324142.29680002</v>
      </c>
      <c r="G465" s="185">
        <f>SUM(E465:F465)</f>
        <v>1100000000.2968001</v>
      </c>
      <c r="H465" s="158"/>
      <c r="I465" s="262">
        <f>1100000000-G465</f>
        <v>-0.29680013656616211</v>
      </c>
      <c r="J465" s="262"/>
      <c r="K465" s="262"/>
      <c r="L465" s="176"/>
      <c r="M465" s="176"/>
      <c r="N465" s="176"/>
      <c r="O465" s="176"/>
      <c r="P465" s="176"/>
      <c r="Q465" s="181"/>
      <c r="R465" s="266" t="s">
        <v>315</v>
      </c>
      <c r="S465" s="267"/>
      <c r="T465" s="176"/>
      <c r="U465" s="182">
        <f>F459</f>
        <v>78977677</v>
      </c>
      <c r="V465" s="186"/>
    </row>
    <row r="466" spans="1:22" ht="24" customHeight="1" thickBot="1" x14ac:dyDescent="0.35">
      <c r="A466" s="120"/>
      <c r="B466" s="263" t="s">
        <v>317</v>
      </c>
      <c r="C466" s="263"/>
      <c r="D466" s="263"/>
      <c r="E466" s="183">
        <f>SUMPRODUCT($Q$4:$Q$30,$J$4:$J$30)</f>
        <v>108000000</v>
      </c>
      <c r="F466" s="184">
        <f>SUMPRODUCT($Q$31:$Q$416,$J$31:$J$416)</f>
        <v>0</v>
      </c>
      <c r="G466" s="185">
        <f t="shared" ref="G466:G471" si="70">SUM(E466:F466)</f>
        <v>108000000</v>
      </c>
      <c r="H466" s="158"/>
      <c r="I466" s="262">
        <f>108000000-G466</f>
        <v>0</v>
      </c>
      <c r="J466" s="262"/>
      <c r="K466" s="262"/>
      <c r="L466" s="176"/>
      <c r="M466" s="176"/>
      <c r="N466" s="176"/>
      <c r="O466" s="176"/>
      <c r="P466" s="176"/>
      <c r="Q466" s="181"/>
      <c r="R466" s="268" t="s">
        <v>331</v>
      </c>
      <c r="S466" s="269"/>
      <c r="T466" s="176"/>
      <c r="U466" s="187">
        <f>SUM(U463:U465)</f>
        <v>18916749945.433197</v>
      </c>
      <c r="V466" s="186"/>
    </row>
    <row r="467" spans="1:22" ht="24" customHeight="1" x14ac:dyDescent="0.3">
      <c r="A467" s="120"/>
      <c r="B467" s="259" t="s">
        <v>314</v>
      </c>
      <c r="C467" s="260"/>
      <c r="D467" s="261"/>
      <c r="E467" s="183">
        <f>SUMPRODUCT($Q$4:$Q$31,$K$4:$K$31)</f>
        <v>4128751462</v>
      </c>
      <c r="F467" s="184">
        <f>SUMPRODUCT($Q$50:$Q$444,$K$50:$K$444)</f>
        <v>2475248538.2227983</v>
      </c>
      <c r="G467" s="185">
        <f t="shared" si="70"/>
        <v>6604000000.2227983</v>
      </c>
      <c r="H467" s="158"/>
      <c r="I467" s="262">
        <f>6604000000-G467</f>
        <v>-0.22279834747314453</v>
      </c>
      <c r="J467" s="262"/>
      <c r="K467" s="262"/>
      <c r="L467" s="176"/>
      <c r="M467" s="176"/>
      <c r="N467" s="176"/>
      <c r="O467" s="176"/>
      <c r="P467" s="176"/>
      <c r="Q467" s="181"/>
      <c r="R467" s="160"/>
      <c r="S467" s="160"/>
      <c r="T467" s="176"/>
      <c r="U467" s="160"/>
      <c r="V467" s="186"/>
    </row>
    <row r="468" spans="1:22" ht="24" customHeight="1" x14ac:dyDescent="0.3">
      <c r="A468" s="120"/>
      <c r="B468" s="263" t="s">
        <v>318</v>
      </c>
      <c r="C468" s="263"/>
      <c r="D468" s="263"/>
      <c r="E468" s="183">
        <f>SUMPRODUCT($Q$4:$Q$32,$L$4:$L$32)</f>
        <v>20962657</v>
      </c>
      <c r="F468" s="184">
        <f>SUMPRODUCT($Q$359:$Q$359,$L$359:$L$359)</f>
        <v>229037343</v>
      </c>
      <c r="G468" s="185">
        <f t="shared" si="70"/>
        <v>250000000</v>
      </c>
      <c r="H468" s="158"/>
      <c r="I468" s="262">
        <f>250000000-G468</f>
        <v>0</v>
      </c>
      <c r="J468" s="262"/>
      <c r="K468" s="262"/>
      <c r="L468" s="176"/>
      <c r="M468" s="176"/>
      <c r="N468" s="176"/>
      <c r="O468" s="176"/>
      <c r="P468" s="176"/>
      <c r="Q468" s="159"/>
      <c r="R468" s="159"/>
      <c r="S468" s="160"/>
      <c r="T468" s="176"/>
      <c r="U468" s="160"/>
      <c r="V468" s="186"/>
    </row>
    <row r="469" spans="1:22" ht="24" customHeight="1" x14ac:dyDescent="0.3">
      <c r="A469" s="120"/>
      <c r="B469" s="263" t="s">
        <v>319</v>
      </c>
      <c r="C469" s="263"/>
      <c r="D469" s="263"/>
      <c r="E469" s="183">
        <f>SUMPRODUCT($Q$4:$Q$33,$M$4:$M$33)</f>
        <v>35208834</v>
      </c>
      <c r="F469" s="184">
        <f>SUMPRODUCT($Q$353:$Q$416,$M$353:$M$416)</f>
        <v>364791166</v>
      </c>
      <c r="G469" s="185">
        <f t="shared" si="70"/>
        <v>400000000</v>
      </c>
      <c r="H469" s="158"/>
      <c r="I469" s="262">
        <f>400000000-G469</f>
        <v>0</v>
      </c>
      <c r="J469" s="262"/>
      <c r="K469" s="262"/>
      <c r="L469" s="176"/>
      <c r="M469" s="176"/>
      <c r="N469" s="176"/>
      <c r="O469" s="27"/>
      <c r="P469" s="176"/>
      <c r="Q469" s="160"/>
      <c r="R469" s="159"/>
      <c r="S469" s="160"/>
      <c r="T469" s="176"/>
      <c r="U469" s="160"/>
      <c r="V469" s="186"/>
    </row>
    <row r="470" spans="1:22" ht="24" customHeight="1" x14ac:dyDescent="0.3">
      <c r="A470" s="120"/>
      <c r="B470" s="263" t="s">
        <v>316</v>
      </c>
      <c r="C470" s="263"/>
      <c r="D470" s="263"/>
      <c r="E470" s="183">
        <f>SUMPRODUCT($Q$4:$Q$34,$N$4:$N$34)</f>
        <v>123966393</v>
      </c>
      <c r="F470" s="184">
        <f>SUMPRODUCT($Q$62:$Q$397,$N$62:$N$397)</f>
        <v>941033607.03999996</v>
      </c>
      <c r="G470" s="185">
        <f t="shared" si="70"/>
        <v>1065000000.04</v>
      </c>
      <c r="H470" s="158"/>
      <c r="I470" s="262">
        <f>1065000000-G470</f>
        <v>-3.9999961853027344E-2</v>
      </c>
      <c r="J470" s="262"/>
      <c r="K470" s="262"/>
      <c r="L470" s="176"/>
      <c r="M470" s="176"/>
      <c r="N470" s="176"/>
      <c r="O470" s="176"/>
      <c r="P470" s="176"/>
      <c r="Q470" s="160"/>
      <c r="R470" s="162"/>
      <c r="S470" s="162"/>
      <c r="T470" s="176"/>
      <c r="U470" s="160"/>
      <c r="V470" s="186"/>
    </row>
    <row r="471" spans="1:22" ht="46.5" customHeight="1" x14ac:dyDescent="0.3">
      <c r="A471" s="120"/>
      <c r="B471" s="263" t="s">
        <v>320</v>
      </c>
      <c r="C471" s="263"/>
      <c r="D471" s="263"/>
      <c r="E471" s="183">
        <f>SUMPRODUCT($Q$4:$Q$36,$O$4:$O$36)</f>
        <v>6462000</v>
      </c>
      <c r="F471" s="184">
        <f>SUMPRODUCT($Q$37:$Q$416,$O$37:$O$416)</f>
        <v>46538000</v>
      </c>
      <c r="G471" s="185">
        <f t="shared" si="70"/>
        <v>53000000</v>
      </c>
      <c r="H471" s="158"/>
      <c r="I471" s="262">
        <f>53000000-G471</f>
        <v>0</v>
      </c>
      <c r="J471" s="262"/>
      <c r="K471" s="262"/>
      <c r="L471" s="176"/>
      <c r="M471" s="176"/>
      <c r="N471" s="176"/>
      <c r="O471" s="176"/>
      <c r="P471" s="188"/>
      <c r="Q471" s="160"/>
      <c r="R471" s="162"/>
      <c r="S471" s="162"/>
      <c r="T471" s="176"/>
      <c r="U471" s="160"/>
      <c r="V471" s="186"/>
    </row>
    <row r="472" spans="1:22" ht="16.5" customHeight="1" x14ac:dyDescent="0.3">
      <c r="A472" s="120"/>
      <c r="B472" s="264" t="s">
        <v>321</v>
      </c>
      <c r="C472" s="264"/>
      <c r="D472" s="264"/>
      <c r="E472" s="167">
        <f>SUM(E465:E471)</f>
        <v>5300027204</v>
      </c>
      <c r="F472" s="166">
        <f>SUM(F465:F471)</f>
        <v>4279972796.5595984</v>
      </c>
      <c r="G472" s="168">
        <f>SUM(G465:G471)-1</f>
        <v>9579999999.559597</v>
      </c>
      <c r="H472" s="158"/>
      <c r="I472" s="27"/>
      <c r="J472" s="189"/>
      <c r="K472" s="27"/>
      <c r="L472" s="176"/>
      <c r="M472" s="176"/>
      <c r="N472" s="176"/>
      <c r="O472" s="176"/>
      <c r="P472" s="176"/>
      <c r="Q472" s="160"/>
      <c r="R472" s="160"/>
      <c r="S472" s="160"/>
      <c r="T472" s="176"/>
      <c r="U472" s="160"/>
      <c r="V472" s="23"/>
    </row>
    <row r="473" spans="1:22" ht="16.5" customHeight="1" x14ac:dyDescent="0.3">
      <c r="A473" s="120"/>
      <c r="B473" s="190"/>
      <c r="C473" s="190"/>
      <c r="D473" s="190"/>
      <c r="E473" s="191"/>
      <c r="F473" s="192"/>
      <c r="G473" s="193"/>
      <c r="H473" s="158"/>
      <c r="I473" s="176"/>
      <c r="J473" s="194"/>
      <c r="K473" s="176"/>
      <c r="L473" s="176"/>
      <c r="M473" s="176"/>
      <c r="N473" s="176"/>
      <c r="O473" s="176"/>
      <c r="P473" s="176"/>
      <c r="Q473" s="160"/>
      <c r="R473" s="160"/>
      <c r="S473" s="160"/>
      <c r="T473" s="176"/>
      <c r="U473" s="160"/>
      <c r="V473" s="23"/>
    </row>
    <row r="474" spans="1:22" ht="17.25" customHeight="1" thickBot="1" x14ac:dyDescent="0.35">
      <c r="A474" s="120"/>
      <c r="B474" s="158"/>
      <c r="C474" s="176"/>
      <c r="D474" s="158"/>
      <c r="E474" s="160"/>
      <c r="F474" s="160"/>
      <c r="G474" s="195"/>
      <c r="H474" s="158"/>
      <c r="I474" s="176"/>
      <c r="J474" s="196"/>
      <c r="K474" s="176"/>
      <c r="L474" s="176"/>
      <c r="M474" s="176"/>
      <c r="N474" s="176"/>
      <c r="O474" s="176"/>
      <c r="P474" s="176"/>
      <c r="Q474" s="160"/>
      <c r="R474" s="160"/>
      <c r="S474" s="160"/>
      <c r="T474" s="176"/>
      <c r="U474" s="160"/>
      <c r="V474" s="23"/>
    </row>
    <row r="475" spans="1:22" ht="17.25" customHeight="1" thickBot="1" x14ac:dyDescent="0.35">
      <c r="A475" s="120"/>
      <c r="B475" s="257" t="s">
        <v>322</v>
      </c>
      <c r="C475" s="258"/>
      <c r="D475" s="258"/>
      <c r="E475" s="258"/>
      <c r="F475" s="258"/>
      <c r="G475" s="197">
        <f>+G472+G459</f>
        <v>18916749944.559597</v>
      </c>
      <c r="H475" s="158"/>
      <c r="I475" s="176"/>
      <c r="J475" s="176"/>
      <c r="K475" s="176"/>
      <c r="L475" s="176"/>
      <c r="M475" s="176"/>
      <c r="N475" s="176"/>
      <c r="O475" s="176"/>
      <c r="P475" s="176"/>
      <c r="Q475" s="160"/>
      <c r="R475" s="160"/>
      <c r="S475" s="160"/>
      <c r="T475" s="176"/>
      <c r="U475" s="160"/>
      <c r="V475" s="23"/>
    </row>
    <row r="476" spans="1:22" ht="16.5" customHeight="1" x14ac:dyDescent="0.3">
      <c r="E476" s="198"/>
      <c r="F476" s="199"/>
      <c r="G476" s="199"/>
      <c r="H476" s="199"/>
      <c r="V476" s="23"/>
    </row>
    <row r="477" spans="1:22" ht="18.75" customHeight="1" x14ac:dyDescent="0.4">
      <c r="E477" s="201"/>
      <c r="G477" s="23"/>
      <c r="H477" s="202"/>
      <c r="O477" s="248"/>
      <c r="P477" s="248"/>
      <c r="Q477" s="248"/>
      <c r="R477" s="203"/>
      <c r="V477" s="23"/>
    </row>
    <row r="478" spans="1:22" ht="18.75" customHeight="1" x14ac:dyDescent="0.4">
      <c r="A478" s="23" t="s">
        <v>440</v>
      </c>
      <c r="C478" s="249"/>
      <c r="D478" s="249"/>
      <c r="E478" s="201"/>
      <c r="G478" s="23"/>
      <c r="H478" s="202"/>
      <c r="O478" s="248"/>
      <c r="P478" s="248"/>
      <c r="Q478" s="248"/>
      <c r="R478" s="203"/>
      <c r="V478" s="23"/>
    </row>
    <row r="479" spans="1:22" ht="18.75" customHeight="1" x14ac:dyDescent="0.4">
      <c r="C479" s="265" t="s">
        <v>505</v>
      </c>
      <c r="D479" s="265"/>
      <c r="E479" s="201"/>
      <c r="G479" s="23"/>
      <c r="H479" s="202"/>
      <c r="O479" s="248"/>
      <c r="P479" s="248"/>
      <c r="Q479" s="248"/>
      <c r="R479" s="203"/>
      <c r="V479" s="23"/>
    </row>
    <row r="480" spans="1:22" ht="18.75" customHeight="1" x14ac:dyDescent="0.4">
      <c r="E480" s="201"/>
      <c r="G480" s="23"/>
      <c r="H480" s="202"/>
      <c r="O480" s="248"/>
      <c r="P480" s="248"/>
      <c r="Q480" s="248"/>
      <c r="R480" s="203"/>
      <c r="V480" s="23"/>
    </row>
    <row r="481" spans="3:22" ht="18.75" customHeight="1" x14ac:dyDescent="0.4">
      <c r="E481" s="201"/>
      <c r="G481" s="23"/>
      <c r="H481" s="202"/>
      <c r="O481" s="248"/>
      <c r="P481" s="248"/>
      <c r="Q481" s="248"/>
      <c r="R481" s="203"/>
      <c r="V481" s="23"/>
    </row>
    <row r="482" spans="3:22" ht="18.75" customHeight="1" x14ac:dyDescent="0.3">
      <c r="C482" s="204" t="s">
        <v>437</v>
      </c>
      <c r="E482" s="205"/>
      <c r="G482" s="23"/>
      <c r="H482" s="206"/>
      <c r="N482" s="255" t="s">
        <v>364</v>
      </c>
      <c r="O482" s="256"/>
      <c r="P482" s="256"/>
      <c r="Q482" s="256"/>
    </row>
    <row r="483" spans="3:22" ht="18.75" customHeight="1" x14ac:dyDescent="0.3">
      <c r="C483" s="204" t="s">
        <v>506</v>
      </c>
      <c r="E483" s="205"/>
      <c r="F483" s="204"/>
      <c r="G483" s="204"/>
      <c r="H483" s="206"/>
      <c r="O483" s="204"/>
      <c r="P483" s="204"/>
    </row>
    <row r="484" spans="3:22" ht="18.75" customHeight="1" x14ac:dyDescent="0.3">
      <c r="C484" s="204" t="s">
        <v>366</v>
      </c>
      <c r="E484" s="205"/>
      <c r="F484" s="204"/>
      <c r="G484" s="204"/>
      <c r="H484" s="206"/>
    </row>
    <row r="485" spans="3:22" ht="18.75" customHeight="1" x14ac:dyDescent="0.3">
      <c r="E485" s="205"/>
      <c r="F485" s="204"/>
      <c r="G485" s="204"/>
      <c r="H485" s="206"/>
    </row>
    <row r="486" spans="3:22" ht="18.75" customHeight="1" x14ac:dyDescent="0.3">
      <c r="F486" s="208"/>
      <c r="G486" s="204"/>
      <c r="H486" s="206"/>
    </row>
    <row r="487" spans="3:22" ht="18.75" customHeight="1" x14ac:dyDescent="0.3">
      <c r="D487" s="75"/>
      <c r="F487" s="204"/>
      <c r="G487" s="204"/>
      <c r="H487" s="206"/>
    </row>
    <row r="488" spans="3:22" ht="18.75" customHeight="1" x14ac:dyDescent="0.3"/>
    <row r="489" spans="3:22" ht="18.75" customHeight="1" x14ac:dyDescent="0.3"/>
    <row r="490" spans="3:22" ht="18.75" customHeight="1" x14ac:dyDescent="0.3"/>
    <row r="491" spans="3:22" ht="18.75" customHeight="1" x14ac:dyDescent="0.3"/>
    <row r="492" spans="3:22" ht="18.75" customHeight="1" x14ac:dyDescent="0.3"/>
    <row r="493" spans="3:22" ht="18.75" customHeight="1" x14ac:dyDescent="0.3"/>
    <row r="494" spans="3:22" ht="18.75" customHeight="1" x14ac:dyDescent="0.3"/>
    <row r="495" spans="3:22" ht="18.75" customHeight="1" x14ac:dyDescent="0.3"/>
    <row r="496" spans="3:22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</sheetData>
  <autoFilter ref="A4:U454"/>
  <mergeCells count="34">
    <mergeCell ref="B458:C458"/>
    <mergeCell ref="I458:K458"/>
    <mergeCell ref="A1:U1"/>
    <mergeCell ref="A3:G3"/>
    <mergeCell ref="I3:U3"/>
    <mergeCell ref="B456:C456"/>
    <mergeCell ref="B457:G457"/>
    <mergeCell ref="B459:C459"/>
    <mergeCell ref="B463:G463"/>
    <mergeCell ref="I463:L463"/>
    <mergeCell ref="R463:S463"/>
    <mergeCell ref="B464:D464"/>
    <mergeCell ref="I464:K464"/>
    <mergeCell ref="R464:S464"/>
    <mergeCell ref="B465:D465"/>
    <mergeCell ref="I465:K465"/>
    <mergeCell ref="R465:S465"/>
    <mergeCell ref="B466:D466"/>
    <mergeCell ref="I466:K466"/>
    <mergeCell ref="R466:S466"/>
    <mergeCell ref="N482:Q482"/>
    <mergeCell ref="B475:F475"/>
    <mergeCell ref="B467:D467"/>
    <mergeCell ref="I467:K467"/>
    <mergeCell ref="B468:D468"/>
    <mergeCell ref="I468:K468"/>
    <mergeCell ref="B469:D469"/>
    <mergeCell ref="I469:K469"/>
    <mergeCell ref="B470:D470"/>
    <mergeCell ref="I470:K470"/>
    <mergeCell ref="B471:D471"/>
    <mergeCell ref="I471:K471"/>
    <mergeCell ref="B472:D472"/>
    <mergeCell ref="C479:D47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14" scale="50" orientation="landscape" r:id="rId1"/>
  <headerFooter>
    <oddHeader>&amp;L&amp;G&amp;C&amp;"Arial,Negrita"&amp;16PLAN GENERAL DE COMPRAS 2013                                 VERSION   3&amp;R&amp;G</oddHeader>
    <oddFooter>&amp;L&amp;9Proceso: Adquisición de Bienes y Servicios               &amp;C&amp;9                                Fecha: 2013-10-15                   Versión: 0                             Código: BS-350-FR-133                     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D1" sqref="D1"/>
    </sheetView>
  </sheetViews>
  <sheetFormatPr baseColWidth="10" defaultRowHeight="15" x14ac:dyDescent="0.25"/>
  <cols>
    <col min="1" max="1" width="16.85546875" style="1" customWidth="1"/>
    <col min="2" max="2" width="17.42578125" customWidth="1"/>
    <col min="3" max="3" width="15.42578125" customWidth="1"/>
    <col min="4" max="4" width="17" customWidth="1"/>
    <col min="7" max="7" width="15.140625" bestFit="1" customWidth="1"/>
  </cols>
  <sheetData>
    <row r="1" spans="1:7" ht="16.5" x14ac:dyDescent="0.3">
      <c r="A1" s="2"/>
      <c r="B1" s="3"/>
      <c r="C1" s="4"/>
      <c r="D1" s="4"/>
      <c r="E1" s="2"/>
      <c r="F1" s="2"/>
    </row>
    <row r="2" spans="1:7" ht="16.5" x14ac:dyDescent="0.3">
      <c r="A2" s="2" t="s">
        <v>413</v>
      </c>
      <c r="B2" s="5"/>
      <c r="C2" s="5"/>
      <c r="D2" s="5"/>
      <c r="E2" s="2"/>
      <c r="F2" s="2"/>
    </row>
    <row r="3" spans="1:7" ht="16.5" x14ac:dyDescent="0.3">
      <c r="A3" s="2" t="s">
        <v>412</v>
      </c>
      <c r="B3" s="6"/>
      <c r="C3" s="7"/>
      <c r="D3" s="7"/>
      <c r="E3" s="2"/>
      <c r="F3" s="2"/>
    </row>
    <row r="4" spans="1:7" ht="16.5" x14ac:dyDescent="0.3">
      <c r="A4" s="13">
        <v>5156360</v>
      </c>
      <c r="B4" s="6"/>
      <c r="C4" s="7"/>
      <c r="D4" s="7"/>
      <c r="E4" s="2"/>
      <c r="F4" s="2"/>
    </row>
    <row r="5" spans="1:7" ht="16.5" x14ac:dyDescent="0.3">
      <c r="A5" s="2"/>
      <c r="B5" s="6"/>
      <c r="C5" s="7"/>
      <c r="D5" s="7"/>
      <c r="E5" s="2"/>
      <c r="F5" s="2"/>
    </row>
    <row r="6" spans="1:7" ht="16.5" x14ac:dyDescent="0.3">
      <c r="A6" s="2" t="s">
        <v>414</v>
      </c>
      <c r="B6" s="6"/>
      <c r="C6" s="7"/>
      <c r="D6" s="7"/>
      <c r="E6" s="2"/>
      <c r="F6" s="2"/>
    </row>
    <row r="7" spans="1:7" ht="16.5" x14ac:dyDescent="0.3">
      <c r="A7" s="13">
        <v>9960159</v>
      </c>
      <c r="B7" s="6"/>
      <c r="C7" s="7"/>
      <c r="D7" s="7"/>
      <c r="E7" s="2"/>
      <c r="F7" s="2"/>
    </row>
    <row r="8" spans="1:7" ht="16.5" x14ac:dyDescent="0.3">
      <c r="A8" s="2" t="s">
        <v>415</v>
      </c>
      <c r="B8" s="6"/>
      <c r="C8" s="7"/>
      <c r="D8" s="7"/>
      <c r="E8" s="2"/>
      <c r="F8" s="2"/>
    </row>
    <row r="9" spans="1:7" ht="16.5" x14ac:dyDescent="0.3">
      <c r="A9" s="13">
        <v>708765</v>
      </c>
      <c r="B9" s="6"/>
      <c r="C9" s="7"/>
      <c r="D9" s="7"/>
      <c r="E9" s="2"/>
      <c r="F9" s="2"/>
    </row>
    <row r="10" spans="1:7" ht="16.5" x14ac:dyDescent="0.3">
      <c r="A10" s="2"/>
      <c r="B10" s="6"/>
      <c r="C10" s="7"/>
      <c r="D10" s="7"/>
      <c r="E10" s="2"/>
      <c r="F10" s="2"/>
    </row>
    <row r="11" spans="1:7" ht="16.5" x14ac:dyDescent="0.3">
      <c r="A11" s="2"/>
      <c r="B11" s="6"/>
      <c r="C11" s="7"/>
      <c r="D11" s="7"/>
      <c r="E11" s="2"/>
      <c r="F11" s="2"/>
    </row>
    <row r="12" spans="1:7" ht="16.5" x14ac:dyDescent="0.3">
      <c r="A12" s="2"/>
      <c r="B12" s="6"/>
      <c r="C12" s="7"/>
      <c r="D12" s="7"/>
      <c r="E12" s="2"/>
      <c r="F12" s="2"/>
      <c r="G12" s="16"/>
    </row>
    <row r="13" spans="1:7" ht="16.5" x14ac:dyDescent="0.3">
      <c r="A13" s="2"/>
      <c r="B13" s="6"/>
      <c r="C13" s="7"/>
      <c r="D13" s="7"/>
      <c r="E13" s="2"/>
      <c r="F13" s="2"/>
      <c r="G13" s="16"/>
    </row>
    <row r="14" spans="1:7" ht="16.5" x14ac:dyDescent="0.3">
      <c r="A14" s="2"/>
      <c r="B14" s="6"/>
      <c r="C14" s="7"/>
      <c r="D14" s="7"/>
      <c r="E14" s="2"/>
      <c r="F14" s="2"/>
      <c r="G14" s="16"/>
    </row>
    <row r="15" spans="1:7" ht="16.5" x14ac:dyDescent="0.3">
      <c r="A15" s="2"/>
      <c r="B15" s="6"/>
      <c r="C15" s="7"/>
      <c r="D15" s="7"/>
      <c r="E15" s="2"/>
      <c r="F15" s="2"/>
      <c r="G15" s="16"/>
    </row>
    <row r="16" spans="1:7" ht="16.5" x14ac:dyDescent="0.3">
      <c r="A16" s="2"/>
      <c r="B16" s="6"/>
      <c r="C16" s="7"/>
      <c r="D16" s="7"/>
      <c r="E16" s="2"/>
      <c r="F16" s="2"/>
      <c r="G16" s="16"/>
    </row>
    <row r="17" spans="1:7" ht="16.5" x14ac:dyDescent="0.3">
      <c r="A17" s="2"/>
      <c r="B17" s="6"/>
      <c r="C17" s="7"/>
      <c r="D17" s="7"/>
      <c r="E17" s="2"/>
      <c r="F17" s="2"/>
      <c r="G17" s="16"/>
    </row>
    <row r="18" spans="1:7" ht="16.5" x14ac:dyDescent="0.3">
      <c r="A18" s="2"/>
      <c r="B18" s="6"/>
      <c r="C18" s="7"/>
      <c r="D18" s="7"/>
      <c r="E18" s="2"/>
      <c r="F18" s="2"/>
      <c r="G18" s="16"/>
    </row>
    <row r="19" spans="1:7" ht="16.5" x14ac:dyDescent="0.3">
      <c r="A19" s="2"/>
      <c r="B19" s="6"/>
      <c r="C19" s="7"/>
      <c r="D19" s="7"/>
      <c r="E19" s="2"/>
      <c r="F19" s="2"/>
      <c r="G19" s="16"/>
    </row>
    <row r="20" spans="1:7" ht="16.5" x14ac:dyDescent="0.3">
      <c r="A20" s="2"/>
      <c r="B20" s="6"/>
      <c r="C20" s="7"/>
      <c r="D20" s="7"/>
      <c r="E20" s="2"/>
      <c r="F20" s="2"/>
      <c r="G20" s="16"/>
    </row>
    <row r="21" spans="1:7" ht="16.5" x14ac:dyDescent="0.3">
      <c r="A21" s="2"/>
      <c r="B21" s="6"/>
      <c r="C21" s="7"/>
      <c r="D21" s="7"/>
      <c r="E21" s="2"/>
      <c r="F21" s="2"/>
    </row>
    <row r="22" spans="1:7" ht="16.5" x14ac:dyDescent="0.3">
      <c r="A22" s="2"/>
      <c r="B22" s="6"/>
      <c r="C22" s="7"/>
      <c r="D22" s="7"/>
      <c r="E22" s="2"/>
      <c r="F22" s="2"/>
    </row>
    <row r="23" spans="1:7" ht="16.5" x14ac:dyDescent="0.3">
      <c r="A23" s="2"/>
      <c r="B23" s="6"/>
      <c r="C23" s="7"/>
      <c r="D23" s="7"/>
      <c r="E23" s="2"/>
      <c r="F23" s="2"/>
    </row>
    <row r="24" spans="1:7" ht="16.5" x14ac:dyDescent="0.3">
      <c r="A24" s="2"/>
      <c r="B24" s="6"/>
      <c r="C24" s="7"/>
      <c r="D24" s="7"/>
      <c r="E24" s="2"/>
      <c r="F24" s="2"/>
    </row>
    <row r="25" spans="1:7" ht="16.5" x14ac:dyDescent="0.3">
      <c r="A25" s="2"/>
      <c r="B25" s="6"/>
      <c r="C25" s="7"/>
      <c r="D25" s="7"/>
      <c r="E25" s="2"/>
      <c r="F25" s="2"/>
    </row>
    <row r="26" spans="1:7" ht="16.5" x14ac:dyDescent="0.3">
      <c r="A26" s="2"/>
      <c r="B26" s="6"/>
      <c r="C26" s="7"/>
      <c r="D26" s="7"/>
      <c r="E26" s="2"/>
      <c r="F26" s="2"/>
    </row>
    <row r="27" spans="1:7" ht="16.5" x14ac:dyDescent="0.3">
      <c r="A27" s="2"/>
      <c r="B27" s="6"/>
      <c r="C27" s="7"/>
      <c r="D27" s="7"/>
      <c r="E27" s="2"/>
      <c r="F27" s="2"/>
    </row>
    <row r="28" spans="1:7" ht="16.5" x14ac:dyDescent="0.3">
      <c r="A28" s="2"/>
      <c r="B28" s="6"/>
      <c r="C28" s="7"/>
      <c r="D28" s="7"/>
      <c r="E28" s="2"/>
      <c r="F28" s="2"/>
    </row>
    <row r="29" spans="1:7" ht="16.5" x14ac:dyDescent="0.3">
      <c r="A29" s="2"/>
      <c r="B29" s="6"/>
      <c r="C29" s="7"/>
      <c r="D29" s="7"/>
      <c r="E29" s="2"/>
      <c r="F29" s="2"/>
    </row>
    <row r="30" spans="1:7" ht="16.5" x14ac:dyDescent="0.3">
      <c r="A30" s="2"/>
      <c r="B30" s="6"/>
      <c r="C30" s="7"/>
      <c r="D30" s="7"/>
      <c r="E30" s="2"/>
      <c r="F30" s="2"/>
    </row>
    <row r="31" spans="1:7" ht="16.5" x14ac:dyDescent="0.3">
      <c r="A31" s="2"/>
      <c r="B31" s="6"/>
      <c r="C31" s="7"/>
      <c r="D31" s="7"/>
      <c r="E31" s="2"/>
      <c r="F31" s="2"/>
    </row>
    <row r="32" spans="1:7" ht="16.5" x14ac:dyDescent="0.3">
      <c r="A32" s="2"/>
      <c r="B32" s="6"/>
      <c r="C32" s="7"/>
      <c r="D32" s="7"/>
      <c r="E32" s="2"/>
      <c r="F32" s="2"/>
    </row>
    <row r="33" spans="1:6" ht="16.5" x14ac:dyDescent="0.3">
      <c r="A33" s="2"/>
      <c r="B33" s="6"/>
      <c r="C33" s="7"/>
      <c r="D33" s="7"/>
      <c r="E33" s="2"/>
      <c r="F33" s="2"/>
    </row>
    <row r="34" spans="1:6" ht="16.5" x14ac:dyDescent="0.3">
      <c r="A34" s="2"/>
      <c r="B34" s="6"/>
      <c r="C34" s="7"/>
      <c r="D34" s="7"/>
      <c r="E34" s="2"/>
      <c r="F34" s="2"/>
    </row>
    <row r="35" spans="1:6" ht="16.5" x14ac:dyDescent="0.3">
      <c r="A35" s="2"/>
      <c r="B35" s="6"/>
      <c r="C35" s="7"/>
      <c r="D35" s="7"/>
      <c r="E35" s="2"/>
      <c r="F35" s="2"/>
    </row>
    <row r="36" spans="1:6" ht="16.5" x14ac:dyDescent="0.3">
      <c r="A36" s="2"/>
      <c r="B36" s="6"/>
      <c r="C36" s="7"/>
      <c r="D36" s="7"/>
      <c r="E36" s="2"/>
      <c r="F36" s="2"/>
    </row>
    <row r="37" spans="1:6" ht="16.5" x14ac:dyDescent="0.3">
      <c r="A37" s="2"/>
      <c r="B37" s="6"/>
      <c r="C37" s="7"/>
      <c r="D37" s="7"/>
      <c r="E37" s="2"/>
      <c r="F37" s="2"/>
    </row>
    <row r="38" spans="1:6" ht="16.5" x14ac:dyDescent="0.3">
      <c r="A38" s="2"/>
      <c r="B38" s="6"/>
      <c r="C38" s="7"/>
      <c r="D38" s="7"/>
      <c r="E38" s="2"/>
      <c r="F38" s="2"/>
    </row>
    <row r="39" spans="1:6" ht="16.5" x14ac:dyDescent="0.3">
      <c r="A39" s="2"/>
      <c r="B39" s="6"/>
      <c r="C39" s="7"/>
      <c r="D39" s="7"/>
      <c r="E39" s="2"/>
      <c r="F39" s="2"/>
    </row>
    <row r="40" spans="1:6" ht="16.5" x14ac:dyDescent="0.3">
      <c r="A40" s="2"/>
      <c r="B40" s="6"/>
      <c r="C40" s="7"/>
      <c r="D40" s="7"/>
      <c r="E40" s="2"/>
      <c r="F40" s="2"/>
    </row>
    <row r="41" spans="1:6" ht="16.5" x14ac:dyDescent="0.3">
      <c r="A41" s="2"/>
      <c r="B41" s="6"/>
      <c r="C41" s="7"/>
      <c r="D41" s="7"/>
      <c r="E41" s="2"/>
      <c r="F41" s="2"/>
    </row>
    <row r="42" spans="1:6" ht="16.5" x14ac:dyDescent="0.3">
      <c r="A42" s="2"/>
      <c r="B42" s="6"/>
      <c r="C42" s="7"/>
      <c r="D42" s="7"/>
      <c r="E42" s="2"/>
      <c r="F42" s="2"/>
    </row>
    <row r="43" spans="1:6" ht="16.5" x14ac:dyDescent="0.3">
      <c r="A43" s="2"/>
      <c r="B43" s="6"/>
      <c r="C43" s="7"/>
      <c r="D43" s="7"/>
      <c r="E43" s="2"/>
      <c r="F43" s="2"/>
    </row>
    <row r="44" spans="1:6" ht="16.5" x14ac:dyDescent="0.3">
      <c r="A44" s="2"/>
      <c r="B44" s="6"/>
      <c r="C44" s="7"/>
      <c r="D44" s="7"/>
      <c r="E44" s="2"/>
      <c r="F44" s="2"/>
    </row>
    <row r="45" spans="1:6" ht="16.5" x14ac:dyDescent="0.3">
      <c r="A45" s="2"/>
      <c r="B45" s="6"/>
      <c r="C45" s="7"/>
      <c r="D45" s="7"/>
      <c r="E45" s="2"/>
      <c r="F45" s="2"/>
    </row>
    <row r="46" spans="1:6" ht="16.5" x14ac:dyDescent="0.3">
      <c r="A46" s="2"/>
      <c r="B46" s="6"/>
      <c r="C46" s="7"/>
      <c r="D46" s="7"/>
      <c r="E46" s="2"/>
      <c r="F46" s="2"/>
    </row>
    <row r="47" spans="1:6" ht="16.5" x14ac:dyDescent="0.3">
      <c r="A47" s="2"/>
      <c r="B47" s="6"/>
      <c r="C47" s="7"/>
      <c r="D47" s="7"/>
      <c r="E47" s="2"/>
      <c r="F47" s="2"/>
    </row>
    <row r="48" spans="1:6" ht="16.5" x14ac:dyDescent="0.3">
      <c r="A48" s="2"/>
      <c r="B48" s="6"/>
      <c r="C48" s="7"/>
      <c r="D48" s="7"/>
      <c r="E48" s="2"/>
      <c r="F48" s="2"/>
    </row>
    <row r="49" spans="1:6" ht="16.5" x14ac:dyDescent="0.3">
      <c r="A49" s="2"/>
      <c r="B49" s="6"/>
      <c r="C49" s="7"/>
      <c r="D49" s="7"/>
      <c r="E49" s="2"/>
      <c r="F49" s="2"/>
    </row>
    <row r="50" spans="1:6" ht="16.5" x14ac:dyDescent="0.3">
      <c r="A50" s="2"/>
      <c r="B50" s="6"/>
      <c r="C50" s="7"/>
      <c r="D50" s="7"/>
      <c r="E50" s="2"/>
      <c r="F50" s="2"/>
    </row>
    <row r="51" spans="1:6" ht="16.5" x14ac:dyDescent="0.3">
      <c r="A51" s="2"/>
      <c r="B51" s="6"/>
      <c r="C51" s="7"/>
      <c r="D51" s="7"/>
      <c r="E51" s="2"/>
      <c r="F51" s="2"/>
    </row>
    <row r="52" spans="1:6" ht="16.5" x14ac:dyDescent="0.3">
      <c r="A52" s="2"/>
      <c r="B52" s="6"/>
      <c r="C52" s="7"/>
      <c r="D52" s="7"/>
      <c r="E52" s="2"/>
      <c r="F52" s="2"/>
    </row>
    <row r="53" spans="1:6" ht="16.5" x14ac:dyDescent="0.3">
      <c r="A53" s="2"/>
      <c r="B53" s="6"/>
      <c r="C53" s="7"/>
      <c r="D53" s="7"/>
      <c r="E53" s="2"/>
      <c r="F53" s="2"/>
    </row>
    <row r="54" spans="1:6" ht="16.5" x14ac:dyDescent="0.3">
      <c r="A54" s="2"/>
      <c r="B54" s="6"/>
      <c r="C54" s="7"/>
      <c r="D54" s="7"/>
      <c r="E54" s="2"/>
      <c r="F54" s="2"/>
    </row>
    <row r="55" spans="1:6" ht="16.5" x14ac:dyDescent="0.3">
      <c r="A55" s="2"/>
      <c r="B55" s="6"/>
      <c r="C55" s="7"/>
      <c r="D55" s="7"/>
      <c r="E55" s="2"/>
      <c r="F55" s="2"/>
    </row>
    <row r="56" spans="1:6" s="1" customFormat="1" ht="16.5" x14ac:dyDescent="0.3">
      <c r="A56" s="2"/>
      <c r="B56" s="6"/>
      <c r="C56" s="7"/>
      <c r="D56" s="7"/>
      <c r="E56" s="2"/>
      <c r="F56" s="2"/>
    </row>
    <row r="57" spans="1:6" ht="16.5" x14ac:dyDescent="0.3">
      <c r="A57" s="2"/>
      <c r="B57" s="6"/>
      <c r="C57" s="7"/>
      <c r="D57" s="7"/>
      <c r="E57" s="2"/>
      <c r="F57" s="2"/>
    </row>
    <row r="58" spans="1:6" s="1" customFormat="1" ht="16.5" x14ac:dyDescent="0.3">
      <c r="A58" s="2"/>
      <c r="B58" s="8"/>
      <c r="C58" s="8"/>
      <c r="D58" s="8"/>
      <c r="E58" s="2"/>
      <c r="F58" s="2"/>
    </row>
    <row r="59" spans="1:6" s="1" customFormat="1" ht="16.5" x14ac:dyDescent="0.3">
      <c r="A59" s="2"/>
      <c r="B59" s="8"/>
      <c r="C59" s="8"/>
      <c r="D59" s="8"/>
      <c r="E59" s="2"/>
      <c r="F59" s="2"/>
    </row>
    <row r="60" spans="1:6" s="1" customFormat="1" ht="16.5" x14ac:dyDescent="0.3">
      <c r="A60" s="2"/>
      <c r="B60" s="8"/>
      <c r="C60" s="7"/>
      <c r="D60" s="7"/>
      <c r="E60" s="2"/>
      <c r="F60" s="2"/>
    </row>
    <row r="61" spans="1:6" s="1" customFormat="1" ht="16.5" x14ac:dyDescent="0.3">
      <c r="A61" s="2"/>
      <c r="B61" s="5"/>
      <c r="C61" s="5"/>
      <c r="D61" s="5"/>
      <c r="E61" s="2"/>
      <c r="F61" s="2"/>
    </row>
    <row r="62" spans="1:6" ht="16.5" x14ac:dyDescent="0.3">
      <c r="A62" s="2"/>
      <c r="B62" s="6"/>
      <c r="C62" s="7"/>
      <c r="D62" s="7"/>
      <c r="E62" s="2"/>
      <c r="F62" s="2"/>
    </row>
    <row r="63" spans="1:6" ht="16.5" x14ac:dyDescent="0.3">
      <c r="A63" s="2"/>
      <c r="B63" s="6"/>
      <c r="C63" s="7"/>
      <c r="D63" s="7"/>
      <c r="E63" s="2"/>
      <c r="F63" s="2"/>
    </row>
    <row r="64" spans="1:6" ht="16.5" x14ac:dyDescent="0.3">
      <c r="A64" s="2"/>
      <c r="B64" s="6"/>
      <c r="C64" s="7"/>
      <c r="D64" s="7"/>
      <c r="E64" s="2"/>
      <c r="F64" s="2"/>
    </row>
    <row r="65" spans="1:6" ht="16.5" x14ac:dyDescent="0.3">
      <c r="A65" s="2"/>
      <c r="B65" s="6"/>
      <c r="C65" s="7"/>
      <c r="D65" s="7"/>
      <c r="E65" s="2"/>
      <c r="F65" s="2"/>
    </row>
    <row r="66" spans="1:6" ht="16.5" x14ac:dyDescent="0.3">
      <c r="A66" s="2"/>
      <c r="B66" s="6"/>
      <c r="C66" s="7"/>
      <c r="D66" s="7"/>
      <c r="E66" s="2"/>
      <c r="F66" s="2"/>
    </row>
    <row r="67" spans="1:6" ht="16.5" x14ac:dyDescent="0.3">
      <c r="A67" s="2"/>
      <c r="B67" s="6"/>
      <c r="C67" s="7"/>
      <c r="D67" s="7"/>
      <c r="E67" s="2"/>
      <c r="F67" s="2"/>
    </row>
    <row r="68" spans="1:6" ht="16.5" x14ac:dyDescent="0.3">
      <c r="A68" s="2"/>
      <c r="B68" s="6"/>
      <c r="C68" s="7"/>
      <c r="D68" s="7"/>
      <c r="E68" s="2"/>
      <c r="F68" s="2"/>
    </row>
    <row r="69" spans="1:6" ht="16.5" x14ac:dyDescent="0.3">
      <c r="A69" s="2"/>
      <c r="B69" s="6"/>
      <c r="C69" s="7"/>
      <c r="D69" s="7"/>
      <c r="E69" s="2"/>
      <c r="F69" s="2"/>
    </row>
    <row r="70" spans="1:6" ht="16.5" x14ac:dyDescent="0.3">
      <c r="A70" s="2"/>
      <c r="B70" s="6"/>
      <c r="C70" s="7"/>
      <c r="D70" s="7"/>
      <c r="E70" s="2"/>
      <c r="F70" s="2"/>
    </row>
    <row r="71" spans="1:6" ht="16.5" x14ac:dyDescent="0.3">
      <c r="A71" s="2"/>
      <c r="B71" s="6"/>
      <c r="C71" s="7"/>
      <c r="D71" s="7"/>
      <c r="E71" s="2"/>
      <c r="F71" s="2"/>
    </row>
    <row r="72" spans="1:6" ht="16.5" x14ac:dyDescent="0.3">
      <c r="A72" s="2"/>
      <c r="B72" s="6"/>
      <c r="C72" s="7"/>
      <c r="D72" s="7"/>
      <c r="E72" s="2"/>
      <c r="F72" s="2"/>
    </row>
    <row r="73" spans="1:6" ht="16.5" x14ac:dyDescent="0.3">
      <c r="A73" s="2"/>
      <c r="B73" s="6"/>
      <c r="C73" s="7"/>
      <c r="D73" s="7"/>
      <c r="E73" s="2"/>
      <c r="F73" s="2"/>
    </row>
    <row r="74" spans="1:6" ht="16.5" x14ac:dyDescent="0.3">
      <c r="A74" s="2"/>
      <c r="B74" s="6"/>
      <c r="C74" s="7"/>
      <c r="D74" s="7"/>
      <c r="E74" s="2"/>
      <c r="F74" s="2"/>
    </row>
    <row r="75" spans="1:6" ht="16.5" x14ac:dyDescent="0.3">
      <c r="A75" s="2"/>
      <c r="B75" s="6"/>
      <c r="C75" s="7"/>
      <c r="D75" s="7"/>
      <c r="E75" s="2"/>
      <c r="F75" s="2"/>
    </row>
    <row r="76" spans="1:6" ht="16.5" x14ac:dyDescent="0.3">
      <c r="A76" s="2"/>
      <c r="B76" s="6"/>
      <c r="C76" s="7"/>
      <c r="D76" s="7"/>
      <c r="E76" s="2"/>
      <c r="F76" s="2"/>
    </row>
    <row r="77" spans="1:6" ht="16.5" x14ac:dyDescent="0.3">
      <c r="A77" s="2"/>
      <c r="B77" s="6"/>
      <c r="C77" s="7"/>
      <c r="D77" s="7"/>
      <c r="E77" s="2"/>
      <c r="F77" s="2"/>
    </row>
    <row r="78" spans="1:6" ht="16.5" x14ac:dyDescent="0.3">
      <c r="A78" s="2"/>
      <c r="B78" s="9"/>
      <c r="C78" s="9"/>
      <c r="D78" s="9"/>
      <c r="E78" s="2"/>
      <c r="F78" s="2"/>
    </row>
    <row r="79" spans="1:6" ht="16.5" x14ac:dyDescent="0.3">
      <c r="A79" s="2"/>
      <c r="B79" s="8"/>
      <c r="C79" s="7"/>
      <c r="D79" s="7"/>
      <c r="E79" s="2"/>
      <c r="F79" s="2"/>
    </row>
    <row r="80" spans="1:6" ht="16.5" x14ac:dyDescent="0.3">
      <c r="A80" s="2"/>
      <c r="B80" s="5"/>
      <c r="C80" s="5"/>
      <c r="D80" s="5"/>
      <c r="E80" s="2"/>
      <c r="F80" s="2"/>
    </row>
    <row r="81" spans="1:6" ht="16.5" x14ac:dyDescent="0.3">
      <c r="A81" s="2"/>
      <c r="B81" s="6"/>
      <c r="C81" s="6"/>
      <c r="D81" s="6"/>
      <c r="E81" s="2"/>
      <c r="F81" s="2"/>
    </row>
    <row r="82" spans="1:6" ht="16.5" x14ac:dyDescent="0.3">
      <c r="A82" s="2"/>
      <c r="B82" s="8"/>
      <c r="C82" s="8"/>
      <c r="D82" s="8"/>
      <c r="E82" s="2"/>
      <c r="F82" s="2"/>
    </row>
    <row r="83" spans="1:6" ht="18.75" x14ac:dyDescent="0.3">
      <c r="A83" s="2"/>
      <c r="B83" s="10"/>
      <c r="C83" s="4"/>
      <c r="D83" s="8"/>
      <c r="E83" s="2"/>
      <c r="F83" s="2"/>
    </row>
    <row r="84" spans="1:6" ht="18" x14ac:dyDescent="0.25">
      <c r="A84" s="2"/>
      <c r="B84" s="10"/>
      <c r="C84" s="11"/>
      <c r="D84" s="12"/>
      <c r="E84" s="2"/>
      <c r="F84" s="2"/>
    </row>
    <row r="85" spans="1:6" ht="18" x14ac:dyDescent="0.25">
      <c r="A85" s="2"/>
      <c r="B85" s="10"/>
      <c r="C85" s="4"/>
      <c r="D85" s="12"/>
      <c r="E85" s="2"/>
      <c r="F8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C15" sqref="C15"/>
    </sheetView>
  </sheetViews>
  <sheetFormatPr baseColWidth="10" defaultRowHeight="15" x14ac:dyDescent="0.25"/>
  <cols>
    <col min="1" max="1" width="24.28515625" customWidth="1"/>
    <col min="3" max="3" width="13.5703125" customWidth="1"/>
    <col min="4" max="4" width="16.5703125" customWidth="1"/>
  </cols>
  <sheetData>
    <row r="2" spans="1:5" x14ac:dyDescent="0.25">
      <c r="A2" t="s">
        <v>445</v>
      </c>
      <c r="B2" t="s">
        <v>448</v>
      </c>
      <c r="C2" t="s">
        <v>450</v>
      </c>
      <c r="D2" t="s">
        <v>449</v>
      </c>
      <c r="E2" t="s">
        <v>451</v>
      </c>
    </row>
    <row r="3" spans="1:5" x14ac:dyDescent="0.25">
      <c r="A3" t="s">
        <v>446</v>
      </c>
      <c r="B3">
        <v>1000</v>
      </c>
      <c r="C3" s="15">
        <v>2412</v>
      </c>
      <c r="D3" s="15">
        <f>+C3*B3</f>
        <v>2412000</v>
      </c>
      <c r="E3" s="288">
        <v>76367</v>
      </c>
    </row>
    <row r="4" spans="1:5" x14ac:dyDescent="0.25">
      <c r="A4" t="s">
        <v>447</v>
      </c>
      <c r="B4">
        <v>2000</v>
      </c>
      <c r="C4" s="15">
        <v>1263.625</v>
      </c>
      <c r="D4" s="15">
        <f>+C4*B4</f>
        <v>2527250</v>
      </c>
      <c r="E4" s="288"/>
    </row>
    <row r="5" spans="1:5" x14ac:dyDescent="0.25">
      <c r="A5" t="s">
        <v>452</v>
      </c>
      <c r="B5">
        <v>1000</v>
      </c>
      <c r="C5" s="15">
        <v>1396.29</v>
      </c>
      <c r="D5" s="15">
        <f t="shared" ref="D5:D13" si="0">+C5*B5</f>
        <v>1396290</v>
      </c>
      <c r="E5" s="288">
        <v>76389</v>
      </c>
    </row>
    <row r="6" spans="1:5" x14ac:dyDescent="0.25">
      <c r="A6" t="s">
        <v>453</v>
      </c>
      <c r="B6">
        <v>1000</v>
      </c>
      <c r="C6" s="15">
        <v>13295.11</v>
      </c>
      <c r="D6" s="15">
        <f t="shared" si="0"/>
        <v>13295110</v>
      </c>
      <c r="E6" s="288"/>
    </row>
    <row r="7" spans="1:5" x14ac:dyDescent="0.25">
      <c r="A7" t="s">
        <v>457</v>
      </c>
      <c r="B7">
        <v>8</v>
      </c>
      <c r="C7" s="15">
        <v>120814</v>
      </c>
      <c r="D7" s="15">
        <f t="shared" si="0"/>
        <v>966512</v>
      </c>
      <c r="E7">
        <v>76595</v>
      </c>
    </row>
    <row r="8" spans="1:5" x14ac:dyDescent="0.25">
      <c r="A8" t="s">
        <v>460</v>
      </c>
      <c r="B8">
        <v>1000</v>
      </c>
      <c r="C8" s="15">
        <v>1020.45</v>
      </c>
      <c r="D8" s="15">
        <f t="shared" si="0"/>
        <v>1020450</v>
      </c>
      <c r="E8">
        <v>75912</v>
      </c>
    </row>
    <row r="9" spans="1:5" x14ac:dyDescent="0.25">
      <c r="A9" t="s">
        <v>457</v>
      </c>
      <c r="B9">
        <v>8</v>
      </c>
      <c r="C9" s="15">
        <v>120814</v>
      </c>
      <c r="D9" s="15">
        <f t="shared" si="0"/>
        <v>966512</v>
      </c>
      <c r="E9">
        <v>75949</v>
      </c>
    </row>
    <row r="10" spans="1:5" x14ac:dyDescent="0.25">
      <c r="A10" s="1" t="s">
        <v>457</v>
      </c>
      <c r="B10">
        <v>8</v>
      </c>
      <c r="C10" s="15">
        <f>132500*1.16</f>
        <v>153700</v>
      </c>
      <c r="D10" s="15">
        <f t="shared" si="0"/>
        <v>1229600</v>
      </c>
      <c r="E10" s="288">
        <v>75309</v>
      </c>
    </row>
    <row r="11" spans="1:5" x14ac:dyDescent="0.25">
      <c r="A11" t="s">
        <v>463</v>
      </c>
      <c r="B11">
        <v>1</v>
      </c>
      <c r="C11" s="15">
        <f>445300*1.16</f>
        <v>516547.99999999994</v>
      </c>
      <c r="D11" s="15">
        <f t="shared" si="0"/>
        <v>516547.99999999994</v>
      </c>
      <c r="E11" s="288"/>
    </row>
    <row r="12" spans="1:5" x14ac:dyDescent="0.25">
      <c r="A12" t="s">
        <v>469</v>
      </c>
      <c r="B12">
        <v>500</v>
      </c>
      <c r="C12" s="15">
        <f>2492.6*1.16</f>
        <v>2891.4159999999997</v>
      </c>
      <c r="D12" s="15">
        <f t="shared" si="0"/>
        <v>1445707.9999999998</v>
      </c>
      <c r="E12">
        <v>75157</v>
      </c>
    </row>
    <row r="13" spans="1:5" x14ac:dyDescent="0.25">
      <c r="A13" t="s">
        <v>470</v>
      </c>
      <c r="B13">
        <v>1000</v>
      </c>
      <c r="C13" s="15">
        <f>6524.4*1.16</f>
        <v>7568.3039999999992</v>
      </c>
      <c r="D13" s="15">
        <f t="shared" si="0"/>
        <v>7568303.9999999991</v>
      </c>
      <c r="E13">
        <v>75224</v>
      </c>
    </row>
    <row r="14" spans="1:5" x14ac:dyDescent="0.25">
      <c r="A14" t="s">
        <v>471</v>
      </c>
      <c r="B14">
        <v>1</v>
      </c>
      <c r="C14" s="15">
        <f>706700*1.16</f>
        <v>819772</v>
      </c>
    </row>
    <row r="15" spans="1:5" x14ac:dyDescent="0.25">
      <c r="C15" s="15"/>
    </row>
    <row r="16" spans="1:5" x14ac:dyDescent="0.25">
      <c r="C16" s="15"/>
    </row>
    <row r="17" spans="3:3" x14ac:dyDescent="0.25">
      <c r="C17" s="15"/>
    </row>
  </sheetData>
  <mergeCells count="3">
    <mergeCell ref="E3:E4"/>
    <mergeCell ref="E5:E6"/>
    <mergeCell ref="E10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DEFINITIVO (2)</vt:lpstr>
      <vt:lpstr>Hoja1</vt:lpstr>
      <vt:lpstr>Hoja2</vt:lpstr>
      <vt:lpstr>'DEFINITIVO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PMORENO</dc:creator>
  <cp:lastModifiedBy>CAROLINA MEJIA SANTOS</cp:lastModifiedBy>
  <cp:lastPrinted>2014-02-20T15:12:48Z</cp:lastPrinted>
  <dcterms:created xsi:type="dcterms:W3CDTF">2009-05-18T14:16:31Z</dcterms:created>
  <dcterms:modified xsi:type="dcterms:W3CDTF">2017-09-04T16:26:31Z</dcterms:modified>
</cp:coreProperties>
</file>